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1_8.bin" ContentType="application/vnd.openxmlformats-officedocument.oleObject"/>
  <Override PartName="/xl/embeddings/oleObject_1_9.bin" ContentType="application/vnd.openxmlformats-officedocument.oleObject"/>
  <Override PartName="/xl/embeddings/oleObject_1_10.bin" ContentType="application/vnd.openxmlformats-officedocument.oleObject"/>
  <Override PartName="/xl/embeddings/oleObject_1_11.bin" ContentType="application/vnd.openxmlformats-officedocument.oleObject"/>
  <Override PartName="/xl/embeddings/oleObject_1_12.bin" ContentType="application/vnd.openxmlformats-officedocument.oleObject"/>
  <Override PartName="/xl/embeddings/oleObject_1_13.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25" yWindow="120" windowWidth="7560" windowHeight="5820" tabRatio="757" activeTab="0"/>
  </bookViews>
  <sheets>
    <sheet name="Simple-2003" sheetId="1" r:id="rId1"/>
    <sheet name="Advanced" sheetId="2" r:id="rId2"/>
    <sheet name="More advanced" sheetId="3" r:id="rId3"/>
    <sheet name="CloneNumber" sheetId="4" r:id="rId4"/>
    <sheet name="CloneNumberScenarios" sheetId="5" r:id="rId5"/>
    <sheet name="Explanations" sheetId="6" r:id="rId6"/>
    <sheet name="Särplockning" sheetId="7" r:id="rId7"/>
    <sheet name="OrchardDeployer" sheetId="8" r:id="rId8"/>
  </sheets>
  <definedNames>
    <definedName name="solver_adj" localSheetId="3" hidden="1">'CloneNumber'!$G$5</definedName>
    <definedName name="solver_adj" localSheetId="7" hidden="1">'OrchardDeployer'!$J$8:$J$30</definedName>
    <definedName name="solver_cvg" localSheetId="3" hidden="1">0.0001</definedName>
    <definedName name="solver_cvg" localSheetId="7" hidden="1">0.00001</definedName>
    <definedName name="solver_drv" localSheetId="3" hidden="1">1</definedName>
    <definedName name="solver_drv" localSheetId="7" hidden="1">2</definedName>
    <definedName name="solver_est" localSheetId="3" hidden="1">1</definedName>
    <definedName name="solver_est" localSheetId="7" hidden="1">2</definedName>
    <definedName name="solver_itr" localSheetId="3" hidden="1">100</definedName>
    <definedName name="solver_itr" localSheetId="7" hidden="1">2000</definedName>
    <definedName name="solver_lhs1" localSheetId="3" hidden="1">'CloneNumber'!$G$5</definedName>
    <definedName name="solver_lhs1" localSheetId="7" hidden="1">'OrchardDeployer'!$J$14</definedName>
    <definedName name="solver_lhs10" localSheetId="7" hidden="1">'OrchardDeployer'!$J$13</definedName>
    <definedName name="solver_lhs11" localSheetId="7" hidden="1">'OrchardDeployer'!$J$27</definedName>
    <definedName name="solver_lhs12" localSheetId="7" hidden="1">'OrchardDeployer'!$J$27</definedName>
    <definedName name="solver_lhs13" localSheetId="7" hidden="1">'OrchardDeployer'!$J$27</definedName>
    <definedName name="solver_lhs14" localSheetId="7" hidden="1">'OrchardDeployer'!$J$27</definedName>
    <definedName name="solver_lhs15" localSheetId="7" hidden="1">'OrchardDeployer'!$J$26</definedName>
    <definedName name="solver_lhs16" localSheetId="7" hidden="1">'OrchardDeployer'!$J$21</definedName>
    <definedName name="solver_lhs17" localSheetId="7" hidden="1">'OrchardDeployer'!$J$25</definedName>
    <definedName name="solver_lhs18" localSheetId="7" hidden="1">'OrchardDeployer'!$J$27</definedName>
    <definedName name="solver_lhs19" localSheetId="7" hidden="1">'OrchardDeployer'!$J$26</definedName>
    <definedName name="solver_lhs2" localSheetId="3" hidden="1">'CloneNumber'!$G$5</definedName>
    <definedName name="solver_lhs2" localSheetId="7" hidden="1">'OrchardDeployer'!$J$37</definedName>
    <definedName name="solver_lhs20" localSheetId="7" hidden="1">'OrchardDeployer'!$J$24</definedName>
    <definedName name="solver_lhs21" localSheetId="7" hidden="1">'OrchardDeployer'!$J$19</definedName>
    <definedName name="solver_lhs22" localSheetId="7" hidden="1">'OrchardDeployer'!$J$13</definedName>
    <definedName name="solver_lhs23" localSheetId="7" hidden="1">'OrchardDeployer'!$J$13</definedName>
    <definedName name="solver_lhs24" localSheetId="7" hidden="1">'OrchardDeployer'!$J$14</definedName>
    <definedName name="solver_lhs25" localSheetId="7" hidden="1">'OrchardDeployer'!$J$36</definedName>
    <definedName name="solver_lhs3" localSheetId="3" hidden="1">'CloneNumber'!$F$5</definedName>
    <definedName name="solver_lhs3" localSheetId="7" hidden="1">'OrchardDeployer'!$J$8</definedName>
    <definedName name="solver_lhs4" localSheetId="3" hidden="1">'CloneNumber'!$F$5</definedName>
    <definedName name="solver_lhs4" localSheetId="7" hidden="1">'OrchardDeployer'!$J$9</definedName>
    <definedName name="solver_lhs5" localSheetId="7" hidden="1">'OrchardDeployer'!$J$10</definedName>
    <definedName name="solver_lhs6" localSheetId="7" hidden="1">'OrchardDeployer'!$J$11</definedName>
    <definedName name="solver_lhs7" localSheetId="7" hidden="1">'OrchardDeployer'!$J$36</definedName>
    <definedName name="solver_lhs8" localSheetId="7" hidden="1">'OrchardDeployer'!$J$13</definedName>
    <definedName name="solver_lhs9" localSheetId="7" hidden="1">'OrchardDeployer'!$J$12</definedName>
    <definedName name="solver_lin" localSheetId="3" hidden="1">2</definedName>
    <definedName name="solver_lin" localSheetId="7" hidden="1">2</definedName>
    <definedName name="solver_neg" localSheetId="3" hidden="1">1</definedName>
    <definedName name="solver_neg" localSheetId="7" hidden="1">1</definedName>
    <definedName name="solver_num" localSheetId="3" hidden="1">2</definedName>
    <definedName name="solver_num" localSheetId="7" hidden="1">9</definedName>
    <definedName name="solver_nwt" localSheetId="3" hidden="1">1</definedName>
    <definedName name="solver_nwt" localSheetId="7" hidden="1">2</definedName>
    <definedName name="solver_opt" localSheetId="3" hidden="1">'CloneNumber'!$G$27</definedName>
    <definedName name="solver_opt" localSheetId="7" hidden="1">'OrchardDeployer'!$J$31</definedName>
    <definedName name="solver_pre" localSheetId="3" hidden="1">0.00001</definedName>
    <definedName name="solver_pre" localSheetId="7" hidden="1">0.000001</definedName>
    <definedName name="solver_rel1" localSheetId="3" hidden="1">1</definedName>
    <definedName name="solver_rel1" localSheetId="7" hidden="1">1</definedName>
    <definedName name="solver_rel10" localSheetId="7" hidden="1">1</definedName>
    <definedName name="solver_rel11" localSheetId="7" hidden="1">3</definedName>
    <definedName name="solver_rel12" localSheetId="7" hidden="1">3</definedName>
    <definedName name="solver_rel13" localSheetId="7" hidden="1">3</definedName>
    <definedName name="solver_rel14" localSheetId="7" hidden="1">3</definedName>
    <definedName name="solver_rel15" localSheetId="7" hidden="1">3</definedName>
    <definedName name="solver_rel16" localSheetId="7" hidden="1">3</definedName>
    <definedName name="solver_rel17" localSheetId="7" hidden="1">3</definedName>
    <definedName name="solver_rel18" localSheetId="7" hidden="1">3</definedName>
    <definedName name="solver_rel19" localSheetId="7" hidden="1">3</definedName>
    <definedName name="solver_rel2" localSheetId="3" hidden="1">3</definedName>
    <definedName name="solver_rel2" localSheetId="7" hidden="1">2</definedName>
    <definedName name="solver_rel20" localSheetId="7" hidden="1">3</definedName>
    <definedName name="solver_rel21" localSheetId="7" hidden="1">3</definedName>
    <definedName name="solver_rel22" localSheetId="7" hidden="1">1</definedName>
    <definedName name="solver_rel23" localSheetId="7" hidden="1">1</definedName>
    <definedName name="solver_rel24" localSheetId="7" hidden="1">1</definedName>
    <definedName name="solver_rel25" localSheetId="7" hidden="1">2</definedName>
    <definedName name="solver_rel3" localSheetId="3" hidden="1">1</definedName>
    <definedName name="solver_rel3" localSheetId="7" hidden="1">1</definedName>
    <definedName name="solver_rel4" localSheetId="3" hidden="1">3</definedName>
    <definedName name="solver_rel4" localSheetId="7" hidden="1">1</definedName>
    <definedName name="solver_rel5" localSheetId="7" hidden="1">1</definedName>
    <definedName name="solver_rel6" localSheetId="7" hidden="1">1</definedName>
    <definedName name="solver_rel7" localSheetId="7" hidden="1">2</definedName>
    <definedName name="solver_rel8" localSheetId="7" hidden="1">1</definedName>
    <definedName name="solver_rel9" localSheetId="7" hidden="1">1</definedName>
    <definedName name="solver_rhs1" localSheetId="3" hidden="1">'CloneNumber'!$D$5</definedName>
    <definedName name="solver_rhs1" localSheetId="7" hidden="1">1</definedName>
    <definedName name="solver_rhs10" localSheetId="7" hidden="1">1</definedName>
    <definedName name="solver_rhs11" localSheetId="7" hidden="1">0</definedName>
    <definedName name="solver_rhs12" localSheetId="7" hidden="1">0</definedName>
    <definedName name="solver_rhs13" localSheetId="7" hidden="1">0</definedName>
    <definedName name="solver_rhs14" localSheetId="7" hidden="1">0</definedName>
    <definedName name="solver_rhs15" localSheetId="7" hidden="1">0</definedName>
    <definedName name="solver_rhs16" localSheetId="7" hidden="1">0</definedName>
    <definedName name="solver_rhs17" localSheetId="7" hidden="1">0</definedName>
    <definedName name="solver_rhs18" localSheetId="7" hidden="1">0</definedName>
    <definedName name="solver_rhs19" localSheetId="7" hidden="1">0</definedName>
    <definedName name="solver_rhs2" localSheetId="3" hidden="1">2</definedName>
    <definedName name="solver_rhs2" localSheetId="7" hidden="1">1</definedName>
    <definedName name="solver_rhs20" localSheetId="7" hidden="1">0</definedName>
    <definedName name="solver_rhs21" localSheetId="7" hidden="1">0</definedName>
    <definedName name="solver_rhs22" localSheetId="7" hidden="1">1</definedName>
    <definedName name="solver_rhs23" localSheetId="7" hidden="1">1</definedName>
    <definedName name="solver_rhs24" localSheetId="7" hidden="1">1</definedName>
    <definedName name="solver_rhs25" localSheetId="7" hidden="1">20</definedName>
    <definedName name="solver_rhs3" localSheetId="3" hidden="1">'CloneNumber'!$E$5</definedName>
    <definedName name="solver_rhs3" localSheetId="7" hidden="1">1</definedName>
    <definedName name="solver_rhs4" localSheetId="3" hidden="1">'CloneNumber'!$E$5/2</definedName>
    <definedName name="solver_rhs4" localSheetId="7" hidden="1">1</definedName>
    <definedName name="solver_rhs5" localSheetId="7" hidden="1">1</definedName>
    <definedName name="solver_rhs6" localSheetId="7" hidden="1">1</definedName>
    <definedName name="solver_rhs7" localSheetId="7" hidden="1">20</definedName>
    <definedName name="solver_rhs8" localSheetId="7" hidden="1">1</definedName>
    <definedName name="solver_rhs9" localSheetId="7" hidden="1">1</definedName>
    <definedName name="solver_scl" localSheetId="3" hidden="1">2</definedName>
    <definedName name="solver_scl" localSheetId="7" hidden="1">1</definedName>
    <definedName name="solver_sho" localSheetId="3" hidden="1">2</definedName>
    <definedName name="solver_sho" localSheetId="7" hidden="1">2</definedName>
    <definedName name="solver_tim" localSheetId="3" hidden="1">100</definedName>
    <definedName name="solver_tim" localSheetId="7" hidden="1">100</definedName>
    <definedName name="solver_tol" localSheetId="3" hidden="1">0.05</definedName>
    <definedName name="solver_tol" localSheetId="7" hidden="1">0.02</definedName>
    <definedName name="solver_typ" localSheetId="3" hidden="1">1</definedName>
    <definedName name="solver_typ" localSheetId="7" hidden="1">1</definedName>
    <definedName name="solver_val" localSheetId="3" hidden="1">0</definedName>
    <definedName name="solver_val" localSheetId="7" hidden="1">0</definedName>
  </definedNames>
  <calcPr fullCalcOnLoad="1"/>
</workbook>
</file>

<file path=xl/comments1.xml><?xml version="1.0" encoding="utf-8"?>
<comments xmlns="http://schemas.openxmlformats.org/spreadsheetml/2006/main">
  <authors>
    <author>Dag Lindgren</author>
    <author>Kyu-Suk Kang</author>
    <author>dagl</author>
  </authors>
  <commentList>
    <comment ref="F5" authorId="0">
      <text>
        <r>
          <rPr>
            <b/>
            <sz val="10"/>
            <color indexed="17"/>
            <rFont val="Tahoma"/>
            <family val="2"/>
          </rPr>
          <t>Inferiority of contaminating pollen</t>
        </r>
        <r>
          <rPr>
            <sz val="8"/>
            <color indexed="8"/>
            <rFont val="Tahoma"/>
            <family val="2"/>
          </rPr>
          <t xml:space="preserve">
How inferior the migrating contaminating pollen is (in additive standard deviation units). It is recommanded that the effect of contamination on genetic gain is only evaluated by experienced users (it does not matter much within comparisons where contamination is constant). This value is in general negative, as the reference level zero for genetic gain in this workbook is the average of the initial plustrees. That the inforiority is</t>
        </r>
        <r>
          <rPr>
            <sz val="8"/>
            <color indexed="10"/>
            <rFont val="Tahoma"/>
            <family val="2"/>
          </rPr>
          <t xml:space="preserve"> -1</t>
        </r>
        <r>
          <rPr>
            <sz val="8"/>
            <color indexed="8"/>
            <rFont val="Tahoma"/>
            <family val="2"/>
          </rPr>
          <t xml:space="preserve"> means that it is the same as the superiority of the selected clones if selection intensity is 1 (and breeding values exacly known.  
If pollen migrating into the seed orchard is maladapted to where the orchard seeds are used can increase this parameter.</t>
        </r>
      </text>
    </comment>
    <comment ref="B6" authorId="1">
      <text>
        <r>
          <rPr>
            <sz val="8"/>
            <rFont val="Tahoma"/>
            <family val="0"/>
          </rPr>
          <t>Share of non orchard genes in the orchard crop due to pollen contamination</t>
        </r>
      </text>
    </comment>
    <comment ref="F8" authorId="0">
      <text>
        <r>
          <rPr>
            <b/>
            <sz val="10"/>
            <color indexed="17"/>
            <rFont val="Tahoma"/>
            <family val="2"/>
          </rPr>
          <t>Genetic value</t>
        </r>
        <r>
          <rPr>
            <sz val="8"/>
            <rFont val="Tahoma"/>
            <family val="2"/>
          </rPr>
          <t xml:space="preserve">
The expected genetic value of the seed orchard crop. The average breeding value of initial clones is 0 and the additive variance among them is 1.
The gein formulas are given in the Advanced sheet.</t>
        </r>
      </text>
    </comment>
    <comment ref="B23" authorId="1">
      <text>
        <r>
          <rPr>
            <sz val="8"/>
            <rFont val="Tahoma"/>
            <family val="0"/>
          </rPr>
          <t>Caution is adviced when using these gain predictions, it is difficult to understand the conditions when they are valid and the applicability is limited. But we still think the calculations behind can help in developing gain estimates in particular situations.</t>
        </r>
      </text>
    </comment>
    <comment ref="C23" authorId="1">
      <text>
        <r>
          <rPr>
            <b/>
            <sz val="10"/>
            <rFont val="Tahoma"/>
            <family val="2"/>
          </rPr>
          <t>Both seed and pollen parents</t>
        </r>
        <r>
          <rPr>
            <sz val="8"/>
            <rFont val="Tahoma"/>
            <family val="0"/>
          </rPr>
          <t xml:space="preserve">
These clones are both sources for pollen and harvested for seeds
This (Nfm) cannot be larger than the smaller of Nf and Nm.</t>
        </r>
      </text>
    </comment>
    <comment ref="B3" authorId="2">
      <text>
        <r>
          <rPr>
            <b/>
            <sz val="10"/>
            <color indexed="17"/>
            <rFont val="Tahoma"/>
            <family val="2"/>
          </rPr>
          <t>Introduction</t>
        </r>
        <r>
          <rPr>
            <sz val="8"/>
            <rFont val="Tahoma"/>
            <family val="2"/>
          </rPr>
          <t xml:space="preserve">
This workbook considers clonal (grafted) seed orchards. Gain and Gene Diversity of the </t>
        </r>
        <r>
          <rPr>
            <sz val="8"/>
            <rFont val="Tahoma"/>
            <family val="0"/>
          </rPr>
          <t>seed orchard crop is derived as a function of number of clones, extent of selective harvesting and genetic thinning, considerijng pollen contamination and fertility variation. For further information, see the "Explanation" sheet!</t>
        </r>
      </text>
    </comment>
    <comment ref="E3" authorId="2">
      <text>
        <r>
          <rPr>
            <b/>
            <sz val="10"/>
            <color indexed="17"/>
            <rFont val="Tahoma"/>
            <family val="2"/>
          </rPr>
          <t>Operation</t>
        </r>
        <r>
          <rPr>
            <sz val="8"/>
            <rFont val="Tahoma"/>
            <family val="0"/>
          </rPr>
          <t xml:space="preserve">
This workbook is operated by changing red values.</t>
        </r>
      </text>
    </comment>
    <comment ref="H3" authorId="0">
      <text>
        <r>
          <rPr>
            <sz val="8"/>
            <rFont val="Tahoma"/>
            <family val="0"/>
          </rPr>
          <t xml:space="preserve">The </t>
        </r>
        <r>
          <rPr>
            <b/>
            <sz val="8"/>
            <color indexed="10"/>
            <rFont val="Tahoma"/>
            <family val="2"/>
          </rPr>
          <t>red figures with yellow background</t>
        </r>
        <r>
          <rPr>
            <sz val="8"/>
            <color indexed="10"/>
            <rFont val="Tahoma"/>
            <family val="2"/>
          </rPr>
          <t xml:space="preserve"> </t>
        </r>
        <r>
          <rPr>
            <sz val="8"/>
            <rFont val="Tahoma"/>
            <family val="0"/>
          </rPr>
          <t>are meant to be changed by the user.</t>
        </r>
      </text>
    </comment>
    <comment ref="I3" authorId="0">
      <text>
        <r>
          <rPr>
            <b/>
            <sz val="8"/>
            <color indexed="12"/>
            <rFont val="Tahoma"/>
            <family val="2"/>
          </rPr>
          <t>Bold values in blue with yellow background</t>
        </r>
        <r>
          <rPr>
            <sz val="8"/>
            <rFont val="Tahoma"/>
            <family val="0"/>
          </rPr>
          <t xml:space="preserve"> are the main result.</t>
        </r>
        <r>
          <rPr>
            <sz val="8"/>
            <color indexed="40"/>
            <rFont val="Tahoma"/>
            <family val="2"/>
          </rPr>
          <t>Unbolded blue results are less important ones</t>
        </r>
        <r>
          <rPr>
            <sz val="8"/>
            <rFont val="Tahoma"/>
            <family val="0"/>
          </rPr>
          <t xml:space="preserve">. </t>
        </r>
        <r>
          <rPr>
            <b/>
            <sz val="8"/>
            <color indexed="40"/>
            <rFont val="Tahoma"/>
            <family val="2"/>
          </rPr>
          <t>Do not change blue values, because then the workbook will not work!</t>
        </r>
      </text>
    </comment>
    <comment ref="C5" authorId="2">
      <text>
        <r>
          <rPr>
            <b/>
            <sz val="8"/>
            <color indexed="17"/>
            <rFont val="Tahoma"/>
            <family val="2"/>
          </rPr>
          <t>Pollen contamination</t>
        </r>
        <r>
          <rPr>
            <sz val="8"/>
            <rFont val="Tahoma"/>
            <family val="0"/>
          </rPr>
          <t xml:space="preserve">
as percent</t>
        </r>
      </text>
    </comment>
    <comment ref="C6" authorId="2">
      <text>
        <r>
          <rPr>
            <b/>
            <sz val="10"/>
            <color indexed="17"/>
            <rFont val="Tahoma"/>
            <family val="2"/>
          </rPr>
          <t>Pollen contamination</t>
        </r>
        <r>
          <rPr>
            <sz val="8"/>
            <rFont val="Tahoma"/>
            <family val="0"/>
          </rPr>
          <t xml:space="preserve">
As share of the gene migration</t>
        </r>
      </text>
    </comment>
    <comment ref="C9" authorId="2">
      <text>
        <r>
          <rPr>
            <b/>
            <sz val="10"/>
            <color indexed="17"/>
            <rFont val="Tahoma"/>
            <family val="2"/>
          </rPr>
          <t>Clone number</t>
        </r>
        <r>
          <rPr>
            <sz val="8"/>
            <rFont val="Tahoma"/>
            <family val="0"/>
          </rPr>
          <t xml:space="preserve">
Initially in the orchard</t>
        </r>
      </text>
    </comment>
    <comment ref="C12" authorId="2">
      <text>
        <r>
          <rPr>
            <b/>
            <sz val="10"/>
            <color indexed="17"/>
            <rFont val="Tahoma"/>
            <family val="2"/>
          </rPr>
          <t>Clones harvested</t>
        </r>
        <r>
          <rPr>
            <sz val="8"/>
            <rFont val="Tahoma"/>
            <family val="0"/>
          </rPr>
          <t xml:space="preserve">
Only the genetically best clones are harvested in this seed orchard.</t>
        </r>
      </text>
    </comment>
    <comment ref="C14" authorId="2">
      <text>
        <r>
          <rPr>
            <b/>
            <sz val="10"/>
            <color indexed="17"/>
            <rFont val="Tahoma"/>
            <family val="2"/>
          </rPr>
          <t>Clone number</t>
        </r>
        <r>
          <rPr>
            <sz val="8"/>
            <rFont val="Tahoma"/>
            <family val="0"/>
          </rPr>
          <t xml:space="preserve">
Only this number of clones remains after genetic rogueing of the inferior clones.</t>
        </r>
      </text>
    </comment>
    <comment ref="G8" authorId="2">
      <text>
        <r>
          <rPr>
            <b/>
            <sz val="10"/>
            <color indexed="17"/>
            <rFont val="Tahoma"/>
            <family val="2"/>
          </rPr>
          <t>Group coancestry</t>
        </r>
        <r>
          <rPr>
            <sz val="8"/>
            <rFont val="Tahoma"/>
            <family val="0"/>
          </rPr>
          <t xml:space="preserve">
Group coancestry is an average relatedness. 
Group coancestry can also be considered as gene diversity lost since the inititation of the breeding program.
Group coancestry becomes inbreeding after mating all to all. The formula for group coancestry are given to the right.</t>
        </r>
      </text>
    </comment>
    <comment ref="F6" authorId="2">
      <text>
        <r>
          <rPr>
            <sz val="8"/>
            <rFont val="Tahoma"/>
            <family val="0"/>
          </rPr>
          <t xml:space="preserve">
This is the influence on genetic gain of the contaminating pollen</t>
        </r>
      </text>
    </comment>
    <comment ref="C16" authorId="2">
      <text>
        <r>
          <rPr>
            <b/>
            <sz val="10"/>
            <color indexed="17"/>
            <rFont val="Tahoma"/>
            <family val="2"/>
          </rPr>
          <t>Clones in seed orchard</t>
        </r>
        <r>
          <rPr>
            <sz val="8"/>
            <rFont val="Tahoma"/>
            <family val="2"/>
          </rPr>
          <t xml:space="preserve">
Number of clones serving as pollen parents.</t>
        </r>
        <r>
          <rPr>
            <sz val="8"/>
            <rFont val="Tahoma"/>
            <family val="0"/>
          </rPr>
          <t xml:space="preserve">
</t>
        </r>
      </text>
    </comment>
    <comment ref="C17" authorId="2">
      <text>
        <r>
          <rPr>
            <b/>
            <sz val="10"/>
            <color indexed="17"/>
            <rFont val="Tahoma"/>
            <family val="2"/>
          </rPr>
          <t>Harvested clones</t>
        </r>
        <r>
          <rPr>
            <sz val="8"/>
            <rFont val="Tahoma"/>
            <family val="0"/>
          </rPr>
          <t xml:space="preserve">
Serving both as seed parents and as pollen parents.</t>
        </r>
      </text>
    </comment>
    <comment ref="C3" authorId="2">
      <text>
        <r>
          <rPr>
            <b/>
            <sz val="8"/>
            <rFont val="Tahoma"/>
            <family val="0"/>
          </rPr>
          <t>Information and explanations are found in Explanation sheet. It is also a good idea to browse "the red corners".</t>
        </r>
        <r>
          <rPr>
            <sz val="8"/>
            <rFont val="Tahoma"/>
            <family val="0"/>
          </rPr>
          <t xml:space="preserve">
</t>
        </r>
      </text>
    </comment>
    <comment ref="C20" authorId="2">
      <text>
        <r>
          <rPr>
            <b/>
            <sz val="8"/>
            <rFont val="Tahoma"/>
            <family val="0"/>
          </rPr>
          <t>Number of clones available for selection!</t>
        </r>
        <r>
          <rPr>
            <sz val="8"/>
            <rFont val="Tahoma"/>
            <family val="0"/>
          </rPr>
          <t xml:space="preserve">
Used for deriving selection intensities.</t>
        </r>
      </text>
    </comment>
    <comment ref="E8" authorId="2">
      <text>
        <r>
          <rPr>
            <b/>
            <sz val="10"/>
            <color indexed="17"/>
            <rFont val="Tahoma"/>
            <family val="2"/>
          </rPr>
          <t>Gene diversity</t>
        </r>
        <r>
          <rPr>
            <sz val="8"/>
            <rFont val="Tahoma"/>
            <family val="0"/>
          </rPr>
          <t xml:space="preserve">
The gene diversity of the seed orchard crop, compared to the gene diversity of the source population.
The gene diversity is the difference between 1 and the group coancestry.</t>
        </r>
      </text>
    </comment>
    <comment ref="C21" authorId="2">
      <text>
        <r>
          <rPr>
            <b/>
            <sz val="10"/>
            <color indexed="17"/>
            <rFont val="Tahoma"/>
            <family val="2"/>
          </rPr>
          <t>All clones</t>
        </r>
        <r>
          <rPr>
            <sz val="8"/>
            <rFont val="Tahoma"/>
            <family val="0"/>
          </rPr>
          <t xml:space="preserve">
They function as pollen sources</t>
        </r>
      </text>
    </comment>
    <comment ref="C22" authorId="2">
      <text>
        <r>
          <rPr>
            <b/>
            <sz val="10"/>
            <color indexed="17"/>
            <rFont val="Tahoma"/>
            <family val="2"/>
          </rPr>
          <t>Harvested clones</t>
        </r>
        <r>
          <rPr>
            <sz val="8"/>
            <rFont val="Tahoma"/>
            <family val="0"/>
          </rPr>
          <t xml:space="preserve">
Seed parents</t>
        </r>
      </text>
    </comment>
    <comment ref="D3" authorId="2">
      <text>
        <r>
          <rPr>
            <sz val="8"/>
            <rFont val="Tahoma"/>
            <family val="0"/>
          </rPr>
          <t xml:space="preserve">
In this worksheet all clones are equally fertile.</t>
        </r>
      </text>
    </comment>
    <comment ref="C24" authorId="0">
      <text>
        <r>
          <rPr>
            <sz val="8"/>
            <rFont val="Tahoma"/>
            <family val="0"/>
          </rPr>
          <t>Total number of clones contributing to progeny</t>
        </r>
      </text>
    </comment>
  </commentList>
</comments>
</file>

<file path=xl/comments2.xml><?xml version="1.0" encoding="utf-8"?>
<comments xmlns="http://schemas.openxmlformats.org/spreadsheetml/2006/main">
  <authors>
    <author>Kyu-Suk Kang</author>
    <author>argocd</author>
    <author>Dag Lindgren</author>
  </authors>
  <commentList>
    <comment ref="J5" authorId="0">
      <text>
        <r>
          <rPr>
            <sz val="8"/>
            <rFont val="Tahoma"/>
            <family val="0"/>
          </rPr>
          <t xml:space="preserve">Sibling coefficient; fertility variation; variation of the reproductive success of orchard clones; integral of squared contribution. </t>
        </r>
        <r>
          <rPr>
            <sz val="8"/>
            <rFont val="Symbol"/>
            <family val="1"/>
          </rPr>
          <t xml:space="preserve">Y . </t>
        </r>
        <r>
          <rPr>
            <sz val="8"/>
            <rFont val="Tahoma"/>
            <family val="0"/>
          </rPr>
          <t xml:space="preserve">This value cannot be smaller than 1. </t>
        </r>
      </text>
    </comment>
    <comment ref="K5" authorId="0">
      <text>
        <r>
          <rPr>
            <sz val="8"/>
            <rFont val="Tahoma"/>
            <family val="0"/>
          </rPr>
          <t>If the value is 1, all clones are equally fertile.</t>
        </r>
      </text>
    </comment>
    <comment ref="G5" authorId="0">
      <text>
        <r>
          <rPr>
            <sz val="8"/>
            <rFont val="Tahoma"/>
            <family val="0"/>
          </rPr>
          <t>C.V.(%) : the coefficient of variation for the fertility of parents</t>
        </r>
      </text>
    </comment>
    <comment ref="E8" authorId="0">
      <text>
        <r>
          <rPr>
            <sz val="8"/>
            <rFont val="Tahoma"/>
            <family val="0"/>
          </rPr>
          <t>This is calculated on the basis of orchard clones and the gamete gene pool of seed crops. Thus, Ne(v) considers the change of gene contributions between the orchard clones and the seed crops. It describes the size of sample that would give the same drift in gene frequencies as found in the seed crop</t>
        </r>
      </text>
    </comment>
    <comment ref="A1" authorId="1">
      <text>
        <r>
          <rPr>
            <sz val="8"/>
            <rFont val="Tahoma"/>
            <family val="0"/>
          </rPr>
          <t>Recommendation is not to change this one</t>
        </r>
      </text>
    </comment>
    <comment ref="A1" authorId="1">
      <text>
        <r>
          <rPr>
            <sz val="8"/>
            <rFont val="Tahoma"/>
            <family val="0"/>
          </rPr>
          <t>Additive variance (standard deviation of breeding value for orchard clones)</t>
        </r>
      </text>
    </comment>
    <comment ref="C23" authorId="0">
      <text>
        <r>
          <rPr>
            <sz val="8"/>
            <rFont val="Tahoma"/>
            <family val="0"/>
          </rPr>
          <t>This (Nfm) cannot be larger than the smaller of Nf and Nm.</t>
        </r>
      </text>
    </comment>
    <comment ref="E5" authorId="2">
      <text>
        <r>
          <rPr>
            <sz val="8"/>
            <color indexed="8"/>
            <rFont val="Tahoma"/>
            <family val="2"/>
          </rPr>
          <t>How inferior the migrating contaminating pollen is (in additive standard deviation units). It is recommanded that the effect of contamination on genetic gain is only evaluated by experienced users (it does not matter much within comparisons where contamination is constant). This value is in general negative, as the reference level zero for genetic gain in this workbook is the average of the initial plustrees. That the inforiority is -1 means that it is the same as the superiority of the selected clones if selection intensity is 1 (and breeding values exacly known.  
If pollen migrating into the seed orchard is maladapted to where the orchard seeds are used can increase this parameter.</t>
        </r>
      </text>
    </comment>
    <comment ref="H5" authorId="2">
      <text>
        <r>
          <rPr>
            <sz val="8"/>
            <rFont val="Tahoma"/>
            <family val="0"/>
          </rPr>
          <t xml:space="preserve">CV is initially set to </t>
        </r>
        <r>
          <rPr>
            <b/>
            <sz val="8"/>
            <color indexed="17"/>
            <rFont val="Tahoma"/>
            <family val="2"/>
          </rPr>
          <t>100</t>
        </r>
        <r>
          <rPr>
            <sz val="8"/>
            <rFont val="Tahoma"/>
            <family val="0"/>
          </rPr>
          <t>% in this worksheet. That means that standard deviation of fertility is as large as the average fertility. It also means that A=</t>
        </r>
        <r>
          <rPr>
            <b/>
            <sz val="8"/>
            <color indexed="59"/>
            <rFont val="Tahoma"/>
            <family val="2"/>
          </rPr>
          <t>2</t>
        </r>
        <r>
          <rPr>
            <sz val="8"/>
            <rFont val="Tahoma"/>
            <family val="0"/>
          </rPr>
          <t>, and that means that the effective number is half as large as if there were no fertility variation.</t>
        </r>
      </text>
    </comment>
    <comment ref="H21" authorId="2">
      <text>
        <r>
          <rPr>
            <sz val="8"/>
            <rFont val="Tahoma"/>
            <family val="0"/>
          </rPr>
          <t>These selection intensities assume truncation selection from the candidates. They could be manually manipulated, but this is of course a risky operation!</t>
        </r>
      </text>
    </comment>
    <comment ref="H22" authorId="2">
      <text>
        <r>
          <rPr>
            <sz val="8"/>
            <rFont val="Tahoma"/>
            <family val="0"/>
          </rPr>
          <t>See comment above!</t>
        </r>
      </text>
    </comment>
    <comment ref="B24" authorId="2">
      <text>
        <r>
          <rPr>
            <sz val="8"/>
            <rFont val="Tahoma"/>
            <family val="0"/>
          </rPr>
          <t>Total number of clones contributing to progeny</t>
        </r>
      </text>
    </comment>
  </commentList>
</comments>
</file>

<file path=xl/comments3.xml><?xml version="1.0" encoding="utf-8"?>
<comments xmlns="http://schemas.openxmlformats.org/spreadsheetml/2006/main">
  <authors>
    <author>Kyu-Suk Kang</author>
    <author>Dag Lindgren</author>
  </authors>
  <commentList>
    <comment ref="P4" authorId="0">
      <text>
        <r>
          <rPr>
            <sz val="8"/>
            <rFont val="Tahoma"/>
            <family val="0"/>
          </rPr>
          <t>This small '</t>
        </r>
        <r>
          <rPr>
            <i/>
            <sz val="8"/>
            <rFont val="Tahoma"/>
            <family val="2"/>
          </rPr>
          <t>a</t>
        </r>
        <r>
          <rPr>
            <sz val="8"/>
            <rFont val="Tahoma"/>
            <family val="0"/>
          </rPr>
          <t>' can be used  in a power function,  F(x)=x^a, if the clonal values for fertility (x) are ranked. It is also possible to describe an expected contribution of clones, x=F(x)^(1/a). (F(x) is the fraction of genotypes).
The value of '</t>
        </r>
        <r>
          <rPr>
            <i/>
            <sz val="8"/>
            <rFont val="Tahoma"/>
            <family val="2"/>
          </rPr>
          <t>a</t>
        </r>
        <r>
          <rPr>
            <sz val="8"/>
            <rFont val="Tahoma"/>
            <family val="0"/>
          </rPr>
          <t>' can not be less than one.</t>
        </r>
      </text>
    </comment>
    <comment ref="G5" authorId="0">
      <text>
        <r>
          <rPr>
            <sz val="8"/>
            <rFont val="Tahoma"/>
            <family val="0"/>
          </rPr>
          <t xml:space="preserve">Coefficient of variation for </t>
        </r>
        <r>
          <rPr>
            <sz val="8"/>
            <color indexed="14"/>
            <rFont val="Tahoma"/>
            <family val="2"/>
          </rPr>
          <t>the fertility of father parents</t>
        </r>
      </text>
    </comment>
    <comment ref="V3" authorId="0">
      <text>
        <r>
          <rPr>
            <sz val="8"/>
            <rFont val="Tahoma"/>
            <family val="0"/>
          </rPr>
          <t>This is the cumulative contribution of orchard clones according to the power function.</t>
        </r>
      </text>
    </comment>
    <comment ref="H6" authorId="1">
      <text>
        <r>
          <rPr>
            <sz val="8"/>
            <rFont val="Tahoma"/>
            <family val="2"/>
          </rPr>
          <t>Recommendation is not to change this one</t>
        </r>
      </text>
    </comment>
    <comment ref="M4" authorId="0">
      <text>
        <r>
          <rPr>
            <sz val="8"/>
            <rFont val="Tahoma"/>
            <family val="0"/>
          </rPr>
          <t xml:space="preserve">Sibling coefficient for reproductive success; fertility variation; variation of the reproductive success of orchard clones. This value cannot be smaller than 1. </t>
        </r>
      </text>
    </comment>
    <comment ref="B4" authorId="0">
      <text>
        <r>
          <rPr>
            <sz val="8"/>
            <rFont val="Tahoma"/>
            <family val="0"/>
          </rPr>
          <t>The main aim of this sheet is to make it possible to consider the fertility variation among genotypes.</t>
        </r>
      </text>
    </comment>
    <comment ref="G4" authorId="0">
      <text>
        <r>
          <rPr>
            <sz val="8"/>
            <rFont val="Tahoma"/>
            <family val="0"/>
          </rPr>
          <t xml:space="preserve">Coefficient of variation for </t>
        </r>
        <r>
          <rPr>
            <sz val="8"/>
            <color indexed="14"/>
            <rFont val="Tahoma"/>
            <family val="2"/>
          </rPr>
          <t>the fertility of mother clones</t>
        </r>
        <r>
          <rPr>
            <sz val="8"/>
            <rFont val="Tahoma"/>
            <family val="0"/>
          </rPr>
          <t>, thus the standard error as a percentage of the mean.</t>
        </r>
      </text>
    </comment>
    <comment ref="J4" authorId="0">
      <text>
        <r>
          <rPr>
            <sz val="8"/>
            <rFont val="Tahoma"/>
            <family val="2"/>
          </rPr>
          <t xml:space="preserve">Sibling coefficient for mother clones. </t>
        </r>
        <r>
          <rPr>
            <i/>
            <sz val="8"/>
            <rFont val="Tahoma"/>
            <family val="2"/>
          </rPr>
          <t>A</t>
        </r>
        <r>
          <rPr>
            <sz val="8"/>
            <rFont val="Tahoma"/>
            <family val="0"/>
          </rPr>
          <t xml:space="preserve"> is the integral of squared contribution. This value cannot be smaller than 1. </t>
        </r>
      </text>
    </comment>
    <comment ref="J6" authorId="0">
      <text>
        <r>
          <rPr>
            <b/>
            <sz val="8"/>
            <rFont val="Tahoma"/>
            <family val="0"/>
          </rPr>
          <t>Kyu-Suk Kang:</t>
        </r>
        <r>
          <rPr>
            <sz val="8"/>
            <rFont val="Tahoma"/>
            <family val="0"/>
          </rPr>
          <t xml:space="preserve">
Correlation coefficient between mather and father contribution to the seed crop.
Range from -1 to 1.</t>
        </r>
      </text>
    </comment>
    <comment ref="N4" authorId="0">
      <text>
        <r>
          <rPr>
            <b/>
            <sz val="8"/>
            <rFont val="Tahoma"/>
            <family val="0"/>
          </rPr>
          <t>Kyu-Suk Kang:</t>
        </r>
        <r>
          <rPr>
            <sz val="8"/>
            <rFont val="Tahoma"/>
            <family val="0"/>
          </rPr>
          <t xml:space="preserve">
This value is 1 when all clones are equally fertile as a mother and a father, </t>
        </r>
        <r>
          <rPr>
            <sz val="8"/>
            <color indexed="10"/>
            <rFont val="Tahoma"/>
            <family val="2"/>
          </rPr>
          <t>or when female and male fertility is completely correlated negatively (r=-1) with no migration.</t>
        </r>
      </text>
    </comment>
    <comment ref="J5" authorId="0">
      <text>
        <r>
          <rPr>
            <sz val="8"/>
            <rFont val="Tahoma"/>
            <family val="0"/>
          </rPr>
          <t>Sibling coefficient for father clones.</t>
        </r>
      </text>
    </comment>
    <comment ref="C23" authorId="0">
      <text>
        <r>
          <rPr>
            <b/>
            <sz val="8"/>
            <rFont val="Tahoma"/>
            <family val="0"/>
          </rPr>
          <t>Kyu-Suk Kang:</t>
        </r>
        <r>
          <rPr>
            <sz val="8"/>
            <rFont val="Tahoma"/>
            <family val="0"/>
          </rPr>
          <t xml:space="preserve">
This (Nfm) cannot be larger than the smaller of Nf and Nm.</t>
        </r>
      </text>
    </comment>
    <comment ref="B23" authorId="0">
      <text>
        <r>
          <rPr>
            <sz val="8"/>
            <rFont val="Tahoma"/>
            <family val="0"/>
          </rPr>
          <t>Caution is adviced when using these gain predictions, it is difficult to understand the conditions when they are valid and the applicability is limited. But we still think the calculations behind can help in developing gain estimates in particular situations.</t>
        </r>
      </text>
    </comment>
    <comment ref="B24" authorId="1">
      <text>
        <r>
          <rPr>
            <sz val="8"/>
            <rFont val="Tahoma"/>
            <family val="0"/>
          </rPr>
          <t>Total number of clones contributing to progeny</t>
        </r>
      </text>
    </comment>
  </commentList>
</comments>
</file>

<file path=xl/comments4.xml><?xml version="1.0" encoding="utf-8"?>
<comments xmlns="http://schemas.openxmlformats.org/spreadsheetml/2006/main">
  <authors>
    <author>dagl</author>
    <author>argocd</author>
    <author>Kyu-Suk Kang</author>
    <author>Dag Lindgren</author>
  </authors>
  <commentList>
    <comment ref="A2" authorId="0">
      <text>
        <r>
          <rPr>
            <b/>
            <sz val="10"/>
            <color indexed="50"/>
            <rFont val="Tahoma"/>
            <family val="2"/>
          </rPr>
          <t>Purpose of CloneNumber worksheet</t>
        </r>
        <r>
          <rPr>
            <sz val="8"/>
            <color indexed="8"/>
            <rFont val="Tahoma"/>
            <family val="2"/>
          </rPr>
          <t xml:space="preserve">
This worksheet is meant to be an aid in analysing the consequencies of clone number at establishment of seed orchards and an aid in suggesting clone number.
A possible application is like follows:
1. Download this EXCEL workbook
2. Choose values for entries (</t>
        </r>
        <r>
          <rPr>
            <b/>
            <sz val="8"/>
            <color indexed="10"/>
            <rFont val="Tahoma"/>
            <family val="2"/>
          </rPr>
          <t>in red</t>
        </r>
        <r>
          <rPr>
            <sz val="8"/>
            <color indexed="8"/>
            <rFont val="Tahoma"/>
            <family val="2"/>
          </rPr>
          <t xml:space="preserve">)
3. Engage the Tool </t>
        </r>
        <r>
          <rPr>
            <b/>
            <sz val="8"/>
            <color indexed="8"/>
            <rFont val="Tahoma"/>
            <family val="2"/>
          </rPr>
          <t>Solver</t>
        </r>
        <r>
          <rPr>
            <sz val="8"/>
            <color indexed="8"/>
            <rFont val="Tahoma"/>
            <family val="2"/>
          </rPr>
          <t xml:space="preserve"> and maximize benefit by varying </t>
        </r>
        <r>
          <rPr>
            <b/>
            <u val="single"/>
            <sz val="8"/>
            <color indexed="14"/>
            <rFont val="Tahoma"/>
            <family val="2"/>
          </rPr>
          <t>clone numbe</t>
        </r>
        <r>
          <rPr>
            <b/>
            <sz val="8"/>
            <color indexed="8"/>
            <rFont val="Tahoma"/>
            <family val="2"/>
          </rPr>
          <t>r</t>
        </r>
      </text>
    </comment>
    <comment ref="A1" authorId="1">
      <text>
        <r>
          <rPr>
            <sz val="8"/>
            <rFont val="Tahoma"/>
            <family val="0"/>
          </rPr>
          <t>C.V.(%) : the coefficient of variation for the fertility of parents</t>
        </r>
      </text>
    </comment>
    <comment ref="D14" authorId="2">
      <text>
        <r>
          <rPr>
            <sz val="8"/>
            <rFont val="Tahoma"/>
            <family val="0"/>
          </rPr>
          <t xml:space="preserve">As a standard value </t>
        </r>
        <r>
          <rPr>
            <b/>
            <sz val="8"/>
            <color indexed="17"/>
            <rFont val="Tahoma"/>
            <family val="2"/>
          </rPr>
          <t>2</t>
        </r>
        <r>
          <rPr>
            <sz val="8"/>
            <rFont val="Tahoma"/>
            <family val="0"/>
          </rPr>
          <t xml:space="preserve"> may be used, it has some support in literature as a possible standard value for seed orchards (Kang 2001).</t>
        </r>
      </text>
    </comment>
    <comment ref="A1" authorId="1">
      <text>
        <r>
          <rPr>
            <b/>
            <sz val="8"/>
            <rFont val="Tahoma"/>
            <family val="0"/>
          </rPr>
          <t>dagl:</t>
        </r>
        <r>
          <rPr>
            <sz val="8"/>
            <rFont val="Tahoma"/>
            <family val="0"/>
          </rPr>
          <t xml:space="preserve">
The aim of this worksheet is to optimise clone number in a seed orchard were unequal deployment is not considered</t>
        </r>
      </text>
    </comment>
    <comment ref="D2" authorId="3">
      <text>
        <r>
          <rPr>
            <b/>
            <sz val="8"/>
            <rFont val="Tahoma"/>
            <family val="0"/>
          </rPr>
          <t>Assumptions for this specific sheet
Clonal number in seed orchards</t>
        </r>
        <r>
          <rPr>
            <b/>
            <sz val="10"/>
            <rFont val="Tahoma"/>
            <family val="2"/>
          </rPr>
          <t xml:space="preserve">
</t>
        </r>
        <r>
          <rPr>
            <sz val="8"/>
            <rFont val="Tahoma"/>
            <family val="2"/>
          </rPr>
          <t xml:space="preserve">
Trees are not inbred.
Trees are unrelated
Trees have the same fertility as males as they have as females. 
</t>
        </r>
      </text>
    </comment>
    <comment ref="H2" authorId="3">
      <text>
        <r>
          <rPr>
            <b/>
            <sz val="10"/>
            <rFont val="Tahoma"/>
            <family val="2"/>
          </rPr>
          <t>Specific explantation for this particular sheet
Clone number</t>
        </r>
        <r>
          <rPr>
            <sz val="8"/>
            <rFont val="Tahoma"/>
            <family val="0"/>
          </rPr>
          <t xml:space="preserve">
A value for the "benefit" of an hypotetical seed orchard is calculated.
The higher this value is, the better.
The "benefit" depends on the number of clones selected
By using "solver", the benefit can be maximised as a function of clone number.
There are hidden columns (Format, Column, Unhide), which makes it possible to apply genetic thinning (roguing) or selective harvest after the initial selection for establishing the seed orchard.</t>
        </r>
      </text>
    </comment>
    <comment ref="L2" authorId="3">
      <text>
        <r>
          <rPr>
            <b/>
            <sz val="8"/>
            <rFont val="Tahoma"/>
            <family val="2"/>
          </rPr>
          <t>Suggested changes to this sheet</t>
        </r>
        <r>
          <rPr>
            <sz val="8"/>
            <rFont val="Tahoma"/>
            <family val="0"/>
          </rPr>
          <t xml:space="preserve">
Formula for unequal N male and female and A and low N does not seem to work well. It may be that we missed to define conditions and assumptions well in
Kang, KS, Lindgren.D &amp; T.J. Mullin. 2001. Prediction of genetic gain and gene diversity in seed orchard crops under alternative management strategies. TAG 103;1099-1107.
</t>
        </r>
      </text>
    </comment>
    <comment ref="D6" authorId="0">
      <text>
        <r>
          <rPr>
            <sz val="8"/>
            <rFont val="Tahoma"/>
            <family val="2"/>
          </rPr>
          <t>Suggested value is</t>
        </r>
        <r>
          <rPr>
            <b/>
            <sz val="8"/>
            <color indexed="17"/>
            <rFont val="Tahoma"/>
            <family val="2"/>
          </rPr>
          <t xml:space="preserve"> 0.1</t>
        </r>
        <r>
          <rPr>
            <sz val="8"/>
            <color indexed="17"/>
            <rFont val="Tahoma"/>
            <family val="2"/>
          </rPr>
          <t xml:space="preserve">  </t>
        </r>
      </text>
    </comment>
    <comment ref="D11" authorId="0">
      <text>
        <r>
          <rPr>
            <sz val="8"/>
            <rFont val="Tahoma"/>
            <family val="0"/>
          </rPr>
          <t>The sum of all sources of pollination or fertilization must  be 1</t>
        </r>
      </text>
    </comment>
    <comment ref="D5" authorId="0">
      <text>
        <r>
          <rPr>
            <b/>
            <sz val="10"/>
            <color indexed="49"/>
            <rFont val="Tahoma"/>
            <family val="2"/>
          </rPr>
          <t>Candidate clone number</t>
        </r>
        <r>
          <rPr>
            <sz val="8"/>
            <rFont val="Tahoma"/>
            <family val="0"/>
          </rPr>
          <t xml:space="preserve">
The average breeding value of these clones is 1 (100%) by definition (by leveliling of breeding value).
A suggested number is </t>
        </r>
        <r>
          <rPr>
            <b/>
            <sz val="8"/>
            <color indexed="59"/>
            <rFont val="Tahoma"/>
            <family val="2"/>
          </rPr>
          <t>300</t>
        </r>
        <r>
          <rPr>
            <sz val="8"/>
            <rFont val="Tahoma"/>
            <family val="0"/>
          </rPr>
          <t>. This should be typical for many third batch Swedish seed orchards established around 2010.</t>
        </r>
      </text>
    </comment>
    <comment ref="D16" authorId="0">
      <text>
        <r>
          <rPr>
            <sz val="8"/>
            <rFont val="Tahoma"/>
            <family val="0"/>
          </rPr>
          <t xml:space="preserve">This is a factor which frequency of selfing should by multiplied with to get production as the value production which would have been obtained else. Suggested value is </t>
        </r>
        <r>
          <rPr>
            <b/>
            <sz val="8"/>
            <color indexed="57"/>
            <rFont val="Tahoma"/>
            <family val="2"/>
          </rPr>
          <t>0.5</t>
        </r>
        <r>
          <rPr>
            <sz val="8"/>
            <rFont val="Tahoma"/>
            <family val="0"/>
          </rPr>
          <t>.</t>
        </r>
      </text>
    </comment>
    <comment ref="C23" authorId="0">
      <text>
        <r>
          <rPr>
            <b/>
            <sz val="10"/>
            <color indexed="17"/>
            <rFont val="Tahoma"/>
            <family val="2"/>
          </rPr>
          <t>Correlation measure - goal</t>
        </r>
        <r>
          <rPr>
            <sz val="8"/>
            <rFont val="Tahoma"/>
            <family val="0"/>
          </rPr>
          <t xml:space="preserve"> 
The correlation between the measured values  and the "true" values.
rTI is similar to heritability. It is also similar to rAI or rJM.</t>
        </r>
      </text>
    </comment>
    <comment ref="D7" authorId="0">
      <text>
        <r>
          <rPr>
            <sz val="8"/>
            <rFont val="Tahoma"/>
            <family val="0"/>
          </rPr>
          <t xml:space="preserve">A suggested value based on the likely inpact on polliation from close neighbours, and it can be avoided to put ramets of the same clone as close neighbours, is </t>
        </r>
        <r>
          <rPr>
            <b/>
            <sz val="8"/>
            <color indexed="17"/>
            <rFont val="Tahoma"/>
            <family val="2"/>
          </rPr>
          <t>0.1</t>
        </r>
        <r>
          <rPr>
            <sz val="8"/>
            <rFont val="Tahoma"/>
            <family val="0"/>
          </rPr>
          <t>.
 This value is set to what remains when other pollinations has been specified.</t>
        </r>
      </text>
    </comment>
    <comment ref="Q2" authorId="3">
      <text>
        <r>
          <rPr>
            <b/>
            <sz val="10"/>
            <color indexed="14"/>
            <rFont val="Tahoma"/>
            <family val="2"/>
          </rPr>
          <t>Use of "Solver" tool in Excel for optimisation</t>
        </r>
        <r>
          <rPr>
            <sz val="8"/>
            <rFont val="Tahoma"/>
            <family val="2"/>
          </rPr>
          <t xml:space="preserve">
Making optimisation "by hand" is time-consuming and often practically impossible. The tool “Solver” can be used. To use solver the file has to be downloaded first. 
Solver may be found in “Tools” menu in Excel. If it is not found there, it can be activated by “Add-Ins” in “Tools” menu. If Solver is not listed in the “Add-Ins” dialog box, it is necessary to click on “Browse” and locate the drive, folder, and file name for the “Solver.xla” or run the Setup program. Solver iterates the values of the adjustable cells that maximise the value in the target cell. In that way a number or strategy can be optimised. There are more advanced version of solver for sale on the market.
Solver can determine the maximum or minimum value of one specific cell, which can be obtained by changing other specific cells. In this way, you can maximise one value ("Benefit") by allowing other values (number of selections to seed orchad) vary, while keeping the other inputs constant. Solver will find the values of all adjustable cells, which e.g. maximises benefit under your restrictions. To get a better understanding of this technique you may look at EXCEL Help or try the examples which exist in Dag Lindgren's website. There is also a help function in the Solver tool itself.
In Solver you can choose  "</t>
        </r>
        <r>
          <rPr>
            <sz val="8"/>
            <color indexed="10"/>
            <rFont val="Tahoma"/>
            <family val="2"/>
          </rPr>
          <t>Options</t>
        </r>
        <r>
          <rPr>
            <sz val="8"/>
            <rFont val="Tahoma"/>
            <family val="2"/>
          </rPr>
          <t>". Solver does not always work well and it can help to adjust options.</t>
        </r>
        <r>
          <rPr>
            <sz val="8"/>
            <color indexed="10"/>
            <rFont val="Tahoma"/>
            <family val="2"/>
          </rPr>
          <t xml:space="preserve"> Help</t>
        </r>
        <r>
          <rPr>
            <sz val="8"/>
            <rFont val="Tahoma"/>
            <family val="2"/>
          </rPr>
          <t xml:space="preserve"> in options helps to give ideas of adjustments!
You can try to place following values into </t>
        </r>
        <r>
          <rPr>
            <sz val="8"/>
            <color indexed="10"/>
            <rFont val="Tahoma"/>
            <family val="2"/>
          </rPr>
          <t>Precision</t>
        </r>
        <r>
          <rPr>
            <sz val="8"/>
            <rFont val="Tahoma"/>
            <family val="2"/>
          </rPr>
          <t xml:space="preserve">: 0.00000001; </t>
        </r>
        <r>
          <rPr>
            <sz val="8"/>
            <color indexed="10"/>
            <rFont val="Tahoma"/>
            <family val="2"/>
          </rPr>
          <t>Tolerance</t>
        </r>
        <r>
          <rPr>
            <sz val="8"/>
            <rFont val="Tahoma"/>
            <family val="2"/>
          </rPr>
          <t xml:space="preserve">: 0.002; </t>
        </r>
        <r>
          <rPr>
            <sz val="8"/>
            <color indexed="10"/>
            <rFont val="Tahoma"/>
            <family val="2"/>
          </rPr>
          <t>Convergence</t>
        </r>
        <r>
          <rPr>
            <sz val="8"/>
            <rFont val="Tahoma"/>
            <family val="2"/>
          </rPr>
          <t xml:space="preserve">: 0.0001, but we are uncertain on how to handle this and it may not correpond to the need of other situations. The speed solver works with can be improved by changing some settings, but this is not needed when it anyway works fast enough.  
A situation when there is reason to be suspective to the solver solutions is when it can not improve suggested initital solutions. When consider turn to </t>
        </r>
        <r>
          <rPr>
            <sz val="8"/>
            <color indexed="10"/>
            <rFont val="Tahoma"/>
            <family val="2"/>
          </rPr>
          <t>automatic scaling</t>
        </r>
        <r>
          <rPr>
            <sz val="8"/>
            <rFont val="Tahoma"/>
            <family val="2"/>
          </rPr>
          <t xml:space="preserve"> or </t>
        </r>
        <r>
          <rPr>
            <sz val="8"/>
            <color indexed="10"/>
            <rFont val="Tahoma"/>
            <family val="2"/>
          </rPr>
          <t>central derivatives</t>
        </r>
        <r>
          <rPr>
            <sz val="8"/>
            <rFont val="Tahoma"/>
            <family val="2"/>
          </rPr>
          <t xml:space="preserve">.
Do not assume </t>
        </r>
        <r>
          <rPr>
            <sz val="8"/>
            <color indexed="10"/>
            <rFont val="Tahoma"/>
            <family val="2"/>
          </rPr>
          <t>linear mode</t>
        </r>
        <r>
          <rPr>
            <sz val="8"/>
            <rFont val="Tahoma"/>
            <family val="2"/>
          </rPr>
          <t xml:space="preserve">l if you do not know it is linear (gene diversity is not linear).
Use </t>
        </r>
        <r>
          <rPr>
            <sz val="8"/>
            <color indexed="10"/>
            <rFont val="Tahoma"/>
            <family val="2"/>
          </rPr>
          <t>automatic scaling</t>
        </r>
        <r>
          <rPr>
            <sz val="8"/>
            <rFont val="Tahoma"/>
            <family val="2"/>
          </rPr>
          <t xml:space="preserve"> if input and output values differ in magnitudes!
</t>
        </r>
        <r>
          <rPr>
            <sz val="8"/>
            <color indexed="10"/>
            <rFont val="Tahoma"/>
            <family val="2"/>
          </rPr>
          <t>Quadratic extrapolatin</t>
        </r>
        <r>
          <rPr>
            <sz val="8"/>
            <rFont val="Tahoma"/>
            <family val="2"/>
          </rPr>
          <t xml:space="preserve"> could be used if troubles occur!
Use </t>
        </r>
        <r>
          <rPr>
            <sz val="8"/>
            <color indexed="10"/>
            <rFont val="Tahoma"/>
            <family val="2"/>
          </rPr>
          <t>Conjugate search</t>
        </r>
        <r>
          <rPr>
            <sz val="8"/>
            <rFont val="Tahoma"/>
            <family val="2"/>
          </rPr>
          <t xml:space="preserve"> if you run into trouble and have more than 50 variables.
Try using </t>
        </r>
        <r>
          <rPr>
            <sz val="8"/>
            <color indexed="10"/>
            <rFont val="Tahoma"/>
            <family val="2"/>
          </rPr>
          <t>central derivatives</t>
        </r>
        <r>
          <rPr>
            <sz val="8"/>
            <rFont val="Tahoma"/>
            <family val="2"/>
          </rPr>
          <t xml:space="preserve"> if solver runs into problems or returns a message that it cannot improve the solution.
If solver give  message of lacking running time, increasing </t>
        </r>
        <r>
          <rPr>
            <sz val="8"/>
            <color indexed="10"/>
            <rFont val="Tahoma"/>
            <family val="2"/>
          </rPr>
          <t>Max time</t>
        </r>
        <r>
          <rPr>
            <sz val="8"/>
            <rFont val="Tahoma"/>
            <family val="2"/>
          </rPr>
          <t xml:space="preserve"> can be a response, but there are other ways to make it to run faster (on the cost of precision).
Solver solutions can be saved and some suggestions are (probably) fond in this worksheet, which can be loaded.
Last major edit of this DL 030103
</t>
        </r>
      </text>
    </comment>
    <comment ref="S2" authorId="3">
      <text>
        <r>
          <rPr>
            <sz val="8"/>
            <rFont val="Tahoma"/>
            <family val="2"/>
          </rPr>
          <t xml:space="preserve">You can get more information about solver or even update your solver or buy considerable more powerful versions from
 </t>
        </r>
        <r>
          <rPr>
            <sz val="8"/>
            <color indexed="10"/>
            <rFont val="Tahoma"/>
            <family val="2"/>
          </rPr>
          <t>http://www.solver.com/dwnxlsplatform.php</t>
        </r>
        <r>
          <rPr>
            <sz val="8"/>
            <rFont val="Tahoma"/>
            <family val="2"/>
          </rPr>
          <t xml:space="preserve">.
However, these versions may not be superior to what you can do in EXCEL, if you CAN do it. But the solution capacity can be expanded, i. e. the number of variables can be enlarged!
Solver has a serious limitation. It assumes that a local maximum is a global one. Excel solver method of finding a solution will get trapped in the first solution it finds. Other problems with Solver is that it has no way of handling uncertainty or variability. Solver can only handle relationships which can be desribed by a formula or algorithm.
There is a softwar, OptQuest, which is potentially able to handle these difficulties.
More information on sites:
http://www.crystalball.com/support/optimization/optimization_home.html
http://www.optquest.com/products/optquest.html
</t>
        </r>
      </text>
    </comment>
    <comment ref="F25" authorId="0">
      <text>
        <r>
          <rPr>
            <b/>
            <sz val="8"/>
            <rFont val="Tahoma"/>
            <family val="0"/>
          </rPr>
          <t>Selection Gain</t>
        </r>
        <r>
          <rPr>
            <sz val="8"/>
            <rFont val="Tahoma"/>
            <family val="0"/>
          </rPr>
          <t xml:space="preserve">
See formula [11]  
Note that #VALU! Will occur if more clones remain after thinning than before!</t>
        </r>
      </text>
    </comment>
    <comment ref="F4" authorId="0">
      <text>
        <r>
          <rPr>
            <b/>
            <sz val="10"/>
            <color indexed="17"/>
            <rFont val="Tahoma"/>
            <family val="2"/>
          </rPr>
          <t>Genetic thinning (roguing)</t>
        </r>
        <r>
          <rPr>
            <sz val="8"/>
            <rFont val="Tahoma"/>
            <family val="0"/>
          </rPr>
          <t xml:space="preserve">
There is a "genetic thinning" (roguing) device, which sometimes is hidden in this worksheet to avoid to make it too complex. If you want to see this feature, just widen the column!
Note that thinning (rogueing) in praxis seldom will be that absolute, as other considerations than genotype need to be taken (actually it is better not to do it so but use linear deployment! Thus the selection intensity at thinning will be lower than corresponds to the thinning intensity!
</t>
        </r>
      </text>
    </comment>
    <comment ref="D15" authorId="0">
      <text>
        <r>
          <rPr>
            <sz val="8"/>
            <rFont val="Tahoma"/>
            <family val="0"/>
          </rPr>
          <t xml:space="preserve">Suggested value based on experiences in Swedish Scots pine = </t>
        </r>
        <r>
          <rPr>
            <b/>
            <sz val="8"/>
            <color indexed="57"/>
            <rFont val="Tahoma"/>
            <family val="2"/>
          </rPr>
          <t xml:space="preserve">0.3
</t>
        </r>
        <r>
          <rPr>
            <sz val="8"/>
            <rFont val="Tahoma"/>
            <family val="2"/>
          </rPr>
          <t>this expresses how effective selfing is compared to outcrossing</t>
        </r>
      </text>
    </comment>
    <comment ref="C17" authorId="0">
      <text>
        <r>
          <rPr>
            <sz val="8"/>
            <rFont val="Tahoma"/>
            <family val="0"/>
          </rPr>
          <t>Selfloss=Selffert*Production loss</t>
        </r>
      </text>
    </comment>
    <comment ref="D19" authorId="0">
      <text>
        <r>
          <rPr>
            <sz val="8"/>
            <rFont val="Tahoma"/>
            <family val="0"/>
          </rPr>
          <t>The coefficient corresponding to one unit production loss assigned per unit diversity loss (group coancestry). That corresponds to complete homozygosity.
Suggested value for Swedish conifers is</t>
        </r>
        <r>
          <rPr>
            <b/>
            <sz val="8"/>
            <color indexed="17"/>
            <rFont val="Tahoma"/>
            <family val="2"/>
          </rPr>
          <t xml:space="preserve"> 0.4</t>
        </r>
        <r>
          <rPr>
            <sz val="8"/>
            <rFont val="Tahoma"/>
            <family val="0"/>
          </rPr>
          <t>.
Alternatives: 
Suggested value =</t>
        </r>
        <r>
          <rPr>
            <sz val="8"/>
            <rFont val="Tahoma"/>
            <family val="2"/>
          </rPr>
          <t xml:space="preserve"> 0</t>
        </r>
        <r>
          <rPr>
            <sz val="8"/>
            <color indexed="59"/>
            <rFont val="Tahoma"/>
            <family val="2"/>
          </rPr>
          <t>, that mean diversity has no value. 
An alternative would be 1, which means that the proportional loss of benefit to the seed orchard is the same as the coefficient of inbreeding after random mating of the forest the seed orchard crop results in.</t>
        </r>
      </text>
    </comment>
    <comment ref="E22" authorId="0">
      <text>
        <r>
          <rPr>
            <sz val="8"/>
            <rFont val="Tahoma"/>
            <family val="0"/>
          </rPr>
          <t xml:space="preserve">Note that coefficient of variance is not expected to be below zero.
A suggested value based on Swedish experience is </t>
        </r>
        <r>
          <rPr>
            <b/>
            <sz val="8"/>
            <color indexed="17"/>
            <rFont val="Tahoma"/>
            <family val="2"/>
          </rPr>
          <t>0.125</t>
        </r>
        <r>
          <rPr>
            <sz val="8"/>
            <rFont val="Tahoma"/>
            <family val="0"/>
          </rPr>
          <t>.</t>
        </r>
      </text>
    </comment>
    <comment ref="H14" authorId="3">
      <text>
        <r>
          <rPr>
            <b/>
            <sz val="8"/>
            <rFont val="Tahoma"/>
            <family val="0"/>
          </rPr>
          <t>C</t>
        </r>
        <r>
          <rPr>
            <sz val="8"/>
            <rFont val="Tahoma"/>
            <family val="2"/>
          </rPr>
          <t xml:space="preserve">V = coefficient of variation for fertlity
= percentage of the average fertility the standard deviation of fertility among clones constitutes. Coefficient of variation is a simple function of sibling coefficient (see formula).
If CV is 100% , that means that standard deviation of fertility is as large as the average fertility. It also means that </t>
        </r>
        <r>
          <rPr>
            <sz val="8"/>
            <rFont val="Symbol"/>
            <family val="1"/>
          </rPr>
          <t>Y</t>
        </r>
        <r>
          <rPr>
            <sz val="8"/>
            <rFont val="Tahoma"/>
            <family val="2"/>
          </rPr>
          <t>=2, and that means that the effective number is half as large as if fertility was constant.</t>
        </r>
      </text>
    </comment>
    <comment ref="C21" authorId="0">
      <text>
        <r>
          <rPr>
            <b/>
            <sz val="10"/>
            <color indexed="17"/>
            <rFont val="Tahoma"/>
            <family val="2"/>
          </rPr>
          <t>Inferiority of contaminating pollen</t>
        </r>
        <r>
          <rPr>
            <sz val="8"/>
            <rFont val="Tahoma"/>
            <family val="0"/>
          </rPr>
          <t xml:space="preserve">
The contaminating pollen is inferior to seed orchard pollen. This could be the breeding value the unimproved forest, but could also be cause of maladaptation and thus worse than unimproved forest. The wild pollen may not be adapted to the area the seed orchard is expected to serve.
This is the breeding value of the contaminating pollen as a share of the breeding value of the candidates. It may reflect the response to selection by the initial plus tree selection.
</t>
        </r>
      </text>
    </comment>
    <comment ref="D21" authorId="0">
      <text>
        <r>
          <rPr>
            <sz val="8"/>
            <rFont val="Tahoma"/>
            <family val="0"/>
          </rPr>
          <t>A suggested value is</t>
        </r>
        <r>
          <rPr>
            <sz val="8"/>
            <color indexed="59"/>
            <rFont val="Tahoma"/>
            <family val="2"/>
          </rPr>
          <t xml:space="preserve"> </t>
        </r>
        <r>
          <rPr>
            <b/>
            <sz val="8"/>
            <color indexed="59"/>
            <rFont val="Tahoma"/>
            <family val="2"/>
          </rPr>
          <t>0.94.</t>
        </r>
        <r>
          <rPr>
            <sz val="8"/>
            <rFont val="Tahoma"/>
            <family val="0"/>
          </rPr>
          <t xml:space="preserve"> This reflects 6 percent improvement by the initial plus tree selection, which has been suggested for the Swedish program when starting with parental tested original plus trees.</t>
        </r>
      </text>
    </comment>
    <comment ref="A6" authorId="0">
      <text>
        <r>
          <rPr>
            <b/>
            <sz val="10"/>
            <color indexed="17"/>
            <rFont val="Tahoma"/>
            <family val="2"/>
          </rPr>
          <t>Pollination share</t>
        </r>
        <r>
          <rPr>
            <sz val="8"/>
            <rFont val="Tahoma"/>
            <family val="0"/>
          </rPr>
          <t xml:space="preserve">
Pollination or (in columens to the right share fertilization or rather plants). Note that pollination shares are seldom reported, most reports are about fertilisation shares.
The sum of all pollination shares add up to 1 according to formula [1]</t>
        </r>
      </text>
    </comment>
    <comment ref="C15" authorId="0">
      <text>
        <r>
          <rPr>
            <b/>
            <sz val="10"/>
            <color indexed="17"/>
            <rFont val="Tahoma"/>
            <family val="2"/>
          </rPr>
          <t>Efficiency of selfing pollen</t>
        </r>
        <r>
          <rPr>
            <sz val="8"/>
            <rFont val="Tahoma"/>
            <family val="0"/>
          </rPr>
          <t xml:space="preserve">
The effeciency of selfing pollen in a mixture with outcrossing pollen, the share of the selfing pollen which will result in vital seeds compared to the outcrossing pollen.
In this parameter we also lay lower germination, and outsorted plants, which may be a result of selfing, so with fertilisation share is meant plantation share.
</t>
        </r>
      </text>
    </comment>
    <comment ref="I6" authorId="0">
      <text>
        <r>
          <rPr>
            <b/>
            <sz val="10"/>
            <color indexed="17"/>
            <rFont val="Tahoma"/>
            <family val="2"/>
          </rPr>
          <t>Share of planted plants</t>
        </r>
        <r>
          <rPr>
            <sz val="8"/>
            <rFont val="Tahoma"/>
            <family val="0"/>
          </rPr>
          <t xml:space="preserve">
For the formulation this  is set equal to share in fertilisations, but it can be considered in SelfEff.
Shares of fertilisations, seeds derived from the different types of pollinations. To the left are share of pollinations, but that needs adjustment to get share of fertilizations or rather share of planted plants
Sibling coefficient and Selfing Efficiency has been considered.</t>
        </r>
      </text>
    </comment>
    <comment ref="C22" authorId="0">
      <text>
        <r>
          <rPr>
            <b/>
            <sz val="10"/>
            <color indexed="17"/>
            <rFont val="Tahoma"/>
            <family val="2"/>
          </rPr>
          <t>Additive genetic variation</t>
        </r>
        <r>
          <rPr>
            <sz val="8"/>
            <rFont val="Tahoma"/>
            <family val="0"/>
          </rPr>
          <t xml:space="preserve">
The coefficient of variance for additive gene action among genotypes, the standard deviation for breeding value for "value for forestry", expressed in a scale where the average value for forestry is 1.</t>
        </r>
      </text>
    </comment>
    <comment ref="E23" authorId="0">
      <text>
        <r>
          <rPr>
            <sz val="8"/>
            <rFont val="Tahoma"/>
            <family val="0"/>
          </rPr>
          <t xml:space="preserve">A suggested value based on Swedish experience for progeny testing the first generation of plus trees  is </t>
        </r>
        <r>
          <rPr>
            <b/>
            <sz val="8"/>
            <color indexed="17"/>
            <rFont val="Tahoma"/>
            <family val="2"/>
          </rPr>
          <t>0.7</t>
        </r>
        <r>
          <rPr>
            <sz val="8"/>
            <rFont val="Tahoma"/>
            <family val="0"/>
          </rPr>
          <t>.</t>
        </r>
      </text>
    </comment>
    <comment ref="E5" authorId="0">
      <text>
        <r>
          <rPr>
            <b/>
            <sz val="10"/>
            <color indexed="14"/>
            <rFont val="Tahoma"/>
            <family val="2"/>
          </rPr>
          <t>Number of clones in the seed orchard</t>
        </r>
        <r>
          <rPr>
            <sz val="8"/>
            <color indexed="14"/>
            <rFont val="Tahoma"/>
            <family val="2"/>
          </rPr>
          <t xml:space="preserve">
</t>
        </r>
        <r>
          <rPr>
            <sz val="8"/>
            <rFont val="Tahoma"/>
            <family val="0"/>
          </rPr>
          <t xml:space="preserve">
Number of selections, which are selected to the seed orchard.
In practice this ought to be seen as some sort of "effective number of clones" where different number of ramets is considered (c.f. Kang 2001).
The main idea of this spreadsheet is to study the influence of the chosen clonal number, which is the only real choice, which is open for a seed orchard manager at the moment of establishement.
</t>
        </r>
        <r>
          <rPr>
            <sz val="8"/>
            <color indexed="14"/>
            <rFont val="Tahoma"/>
            <family val="2"/>
          </rPr>
          <t>The clone number value c</t>
        </r>
        <r>
          <rPr>
            <sz val="8"/>
            <rFont val="Tahoma"/>
            <family val="0"/>
          </rPr>
          <t>ould be optimised by trial or error or by "solver".</t>
        </r>
      </text>
    </comment>
    <comment ref="E4" authorId="0">
      <text>
        <r>
          <rPr>
            <b/>
            <sz val="10"/>
            <color indexed="17"/>
            <rFont val="Tahoma"/>
            <family val="2"/>
          </rPr>
          <t>Clonal number</t>
        </r>
        <r>
          <rPr>
            <sz val="8"/>
            <rFont val="Tahoma"/>
            <family val="0"/>
          </rPr>
          <t xml:space="preserve">
This is the number of clones selected for the seed orchard (at least initially). The main purpose of the spreadsheet is to optimise this considering the values of the red entries!</t>
        </r>
      </text>
    </comment>
    <comment ref="N2" authorId="0">
      <text>
        <r>
          <rPr>
            <sz val="8"/>
            <rFont val="Tahoma"/>
            <family val="0"/>
          </rPr>
          <t>For the cells</t>
        </r>
        <r>
          <rPr>
            <b/>
            <sz val="8"/>
            <color indexed="10"/>
            <rFont val="Tahoma"/>
            <family val="2"/>
          </rPr>
          <t xml:space="preserve"> meant for input</t>
        </r>
        <r>
          <rPr>
            <sz val="8"/>
            <rFont val="Tahoma"/>
            <family val="0"/>
          </rPr>
          <t>, suggested values are given. These values may be the most relevant values for Swedish Scots pine seed orchards established 2003-2013 with "progeny-tested" clones. Several of the entries are based on a compilation by Rosvall et al (2002).</t>
        </r>
      </text>
    </comment>
    <comment ref="D8" authorId="0">
      <text>
        <r>
          <rPr>
            <sz val="8"/>
            <rFont val="Tahoma"/>
            <family val="2"/>
          </rPr>
          <t>Suggested value is</t>
        </r>
        <r>
          <rPr>
            <b/>
            <sz val="8"/>
            <color indexed="17"/>
            <rFont val="Tahoma"/>
            <family val="2"/>
          </rPr>
          <t xml:space="preserve"> 0.4</t>
        </r>
        <r>
          <rPr>
            <sz val="8"/>
            <color indexed="17"/>
            <rFont val="Tahoma"/>
            <family val="2"/>
          </rPr>
          <t xml:space="preserve">  </t>
        </r>
      </text>
    </comment>
    <comment ref="D10" authorId="0">
      <text>
        <r>
          <rPr>
            <sz val="8"/>
            <rFont val="Tahoma"/>
            <family val="2"/>
          </rPr>
          <t>Suggested value is based on Swedish experiences</t>
        </r>
        <r>
          <rPr>
            <b/>
            <sz val="8"/>
            <color indexed="17"/>
            <rFont val="Tahoma"/>
            <family val="2"/>
          </rPr>
          <t xml:space="preserve"> 0.4</t>
        </r>
        <r>
          <rPr>
            <sz val="8"/>
            <color indexed="17"/>
            <rFont val="Tahoma"/>
            <family val="2"/>
          </rPr>
          <t xml:space="preserve">  </t>
        </r>
      </text>
    </comment>
    <comment ref="D4" authorId="0">
      <text>
        <r>
          <rPr>
            <b/>
            <sz val="10"/>
            <color indexed="49"/>
            <rFont val="Tahoma"/>
            <family val="2"/>
          </rPr>
          <t>Candidate clone number</t>
        </r>
        <r>
          <rPr>
            <sz val="8"/>
            <rFont val="Tahoma"/>
            <family val="0"/>
          </rPr>
          <t xml:space="preserve">
The average breeding value of these clones is 1 (100%) by definition (by leveliling of breeding value).</t>
        </r>
      </text>
    </comment>
    <comment ref="B19" authorId="0">
      <text>
        <r>
          <rPr>
            <b/>
            <sz val="10"/>
            <color indexed="17"/>
            <rFont val="Tahoma"/>
            <family val="2"/>
          </rPr>
          <t>How much is gene diversity worth?</t>
        </r>
        <r>
          <rPr>
            <sz val="8"/>
            <rFont val="Tahoma"/>
            <family val="0"/>
          </rPr>
          <t xml:space="preserve">
The coefficient corresponding to one unit production loss assigned per unit diversity loss (group coancestry). That corresponds to complete homozygosity.
Suggested value</t>
        </r>
        <r>
          <rPr>
            <b/>
            <sz val="8"/>
            <color indexed="17"/>
            <rFont val="Tahoma"/>
            <family val="2"/>
          </rPr>
          <t xml:space="preserve"> 0.4</t>
        </r>
        <r>
          <rPr>
            <sz val="8"/>
            <rFont val="Tahoma"/>
            <family val="0"/>
          </rPr>
          <t>.
Alternatives: 
Suggested value =</t>
        </r>
        <r>
          <rPr>
            <sz val="8"/>
            <rFont val="Tahoma"/>
            <family val="2"/>
          </rPr>
          <t xml:space="preserve"> 0</t>
        </r>
        <r>
          <rPr>
            <sz val="8"/>
            <color indexed="59"/>
            <rFont val="Tahoma"/>
            <family val="2"/>
          </rPr>
          <t>, that mean diversity has no value. 
An alternative would be 1, which means that the proportional loss of benefit to the seed orchard is the same as the coefficient of inbreeding after random mating of the forest the seed orchard crop results in.</t>
        </r>
      </text>
    </comment>
    <comment ref="T2" authorId="0">
      <text>
        <r>
          <rPr>
            <sz val="8"/>
            <rFont val="Tahoma"/>
            <family val="0"/>
          </rPr>
          <t xml:space="preserve">Ola Rosvall has contributed valuable comments on the ideas beyond this worksheet. The Swedish scenario inputs have been discussed with Ola Rosvall and Curt Almqvist.
</t>
        </r>
      </text>
    </comment>
    <comment ref="R3" authorId="0">
      <text>
        <r>
          <rPr>
            <b/>
            <sz val="8"/>
            <rFont val="Tahoma"/>
            <family val="0"/>
          </rPr>
          <t>Solver scenario</t>
        </r>
        <r>
          <rPr>
            <sz val="8"/>
            <rFont val="Tahoma"/>
            <family val="0"/>
          </rPr>
          <t xml:space="preserve">
This is a solver scenario which can be loaded into solver!
It is for optimising the clonal number so the benefit is maximised!
Do not waste time on interpreting whats visible in the cells below!</t>
        </r>
      </text>
    </comment>
    <comment ref="C27" authorId="0">
      <text>
        <r>
          <rPr>
            <b/>
            <sz val="10"/>
            <color indexed="17"/>
            <rFont val="Tahoma"/>
            <family val="2"/>
          </rPr>
          <t>Seed orchard Benefit</t>
        </r>
        <r>
          <rPr>
            <sz val="8"/>
            <rFont val="Tahoma"/>
            <family val="0"/>
          </rPr>
          <t xml:space="preserve">
This is a quantification of how good the seed orchard is. A goodness criterion. It could be called "Benefit". Benefit = 1 is some refernce seed orchard with a large number of candidates, no selfing and no contamination, Benefit should be maximised!
See Formula [11] for benefit in this spreadsheet</t>
        </r>
      </text>
    </comment>
    <comment ref="F22" authorId="0">
      <text>
        <r>
          <rPr>
            <sz val="8"/>
            <rFont val="Tahoma"/>
            <family val="0"/>
          </rPr>
          <t>This value is coefficient of variation among orchard clones, and is suggested to be slightly lower than for the candidates (the value to the left!)</t>
        </r>
      </text>
    </comment>
    <comment ref="S1" authorId="0">
      <text>
        <r>
          <rPr>
            <sz val="8"/>
            <rFont val="Tahoma"/>
            <family val="0"/>
          </rPr>
          <t xml:space="preserve"> Gustaf Hadders observerade mer tomfrö lägre ned i kronan, vilket han tolkade som effekt av självpollinering. Hanblommorna sitter ju i kronans nedre del.
Shen et al 1981 fann att 30% av pollineringen kom från grannträdet, vilket skulle motivera ett högre värde på PollNeighb. Andra undersökninar har lägre värden, och jag vet vilket träd det är och besöker det årligen (studentexkursion) och jag tror att pollenproduktion, fenologi, vindriktning och rent fysisk sammanväxning gjort att det blivit mer än representativt.
</t>
        </r>
      </text>
    </comment>
    <comment ref="M2" authorId="0">
      <text>
        <r>
          <rPr>
            <b/>
            <sz val="10"/>
            <rFont val="Tahoma"/>
            <family val="2"/>
          </rPr>
          <t xml:space="preserve">          Scenarios</t>
        </r>
        <r>
          <rPr>
            <sz val="8"/>
            <rFont val="Tahoma"/>
            <family val="0"/>
          </rPr>
          <t xml:space="preserve">
                taeda  sylv main
Candidates  300      300
Pollwtree       0.1      0.1
Pollneighb      0.1      0.1
PollSO            0.4      0.4
PollCont         0.4      0.4
SiblingCoeff</t>
        </r>
        <r>
          <rPr>
            <sz val="8"/>
            <rFont val="Tahoma"/>
            <family val="2"/>
          </rPr>
          <t xml:space="preserve">   2         2</t>
        </r>
        <r>
          <rPr>
            <sz val="8"/>
            <rFont val="Tahoma"/>
            <family val="0"/>
          </rPr>
          <t xml:space="preserve">
SelfEff           </t>
        </r>
        <r>
          <rPr>
            <sz val="8"/>
            <color indexed="10"/>
            <rFont val="Tahoma"/>
            <family val="2"/>
          </rPr>
          <t xml:space="preserve"> 0.1      0.3</t>
        </r>
        <r>
          <rPr>
            <sz val="8"/>
            <rFont val="Tahoma"/>
            <family val="0"/>
          </rPr>
          <t xml:space="preserve">
SelfProd         0.5     0.5
DívValCoeff    </t>
        </r>
        <r>
          <rPr>
            <sz val="8"/>
            <color indexed="10"/>
            <rFont val="Tahoma"/>
            <family val="2"/>
          </rPr>
          <t>0.2     0.4</t>
        </r>
        <r>
          <rPr>
            <sz val="8"/>
            <rFont val="Tahoma"/>
            <family val="0"/>
          </rPr>
          <t xml:space="preserve">
ValueCont      </t>
        </r>
        <r>
          <rPr>
            <sz val="8"/>
            <color indexed="10"/>
            <rFont val="Tahoma"/>
            <family val="2"/>
          </rPr>
          <t>0.85   0.94</t>
        </r>
        <r>
          <rPr>
            <sz val="8"/>
            <rFont val="Tahoma"/>
            <family val="0"/>
          </rPr>
          <t xml:space="preserve">
AddGenVar    0.125  0.125
CorrTrueInd   </t>
        </r>
        <r>
          <rPr>
            <sz val="8"/>
            <color indexed="10"/>
            <rFont val="Tahoma"/>
            <family val="2"/>
          </rPr>
          <t>0.8     0.7</t>
        </r>
      </text>
    </comment>
    <comment ref="G4" authorId="0">
      <text>
        <r>
          <rPr>
            <b/>
            <sz val="10"/>
            <color indexed="17"/>
            <rFont val="Tahoma"/>
            <family val="2"/>
          </rPr>
          <t>Selective harvest</t>
        </r>
        <r>
          <rPr>
            <sz val="8"/>
            <rFont val="Tahoma"/>
            <family val="0"/>
          </rPr>
          <t xml:space="preserve">
This columns is for considering selective harvest. Iif all seeds are not needed (thinning and selective harvest). Explanation is only given in comments! The columns are normally hidden, and their use is recommended only for specialists.</t>
        </r>
      </text>
    </comment>
    <comment ref="G30" authorId="0">
      <text>
        <r>
          <rPr>
            <b/>
            <sz val="8"/>
            <rFont val="Tahoma"/>
            <family val="0"/>
          </rPr>
          <t>Selective harvest</t>
        </r>
        <r>
          <rPr>
            <sz val="8"/>
            <rFont val="Tahoma"/>
            <family val="0"/>
          </rPr>
          <t xml:space="preserve">
Needed fraction of the seeds (maternal pollen pool). Seeds are harvested from best clones first!</t>
        </r>
      </text>
    </comment>
    <comment ref="G5" authorId="0">
      <text>
        <r>
          <rPr>
            <b/>
            <sz val="8"/>
            <rFont val="Tahoma"/>
            <family val="0"/>
          </rPr>
          <t>Clones (pollen parents)</t>
        </r>
        <r>
          <rPr>
            <sz val="8"/>
            <rFont val="Tahoma"/>
            <family val="0"/>
          </rPr>
          <t xml:space="preserve">
Number of clones in the seed orchard, for the scenario in this column, it is envisagened only a fraction of those or harvested.</t>
        </r>
      </text>
    </comment>
    <comment ref="G22" authorId="0">
      <text>
        <r>
          <rPr>
            <b/>
            <sz val="8"/>
            <rFont val="Tahoma"/>
            <family val="0"/>
          </rPr>
          <t>dagl:</t>
        </r>
        <r>
          <rPr>
            <sz val="8"/>
            <rFont val="Tahoma"/>
            <family val="0"/>
          </rPr>
          <t xml:space="preserve">
Uses values in the same row in the column for unthinned orchard!</t>
        </r>
      </text>
    </comment>
    <comment ref="G23" authorId="0">
      <text>
        <r>
          <rPr>
            <b/>
            <sz val="8"/>
            <rFont val="Tahoma"/>
            <family val="0"/>
          </rPr>
          <t>dagl:</t>
        </r>
        <r>
          <rPr>
            <sz val="8"/>
            <rFont val="Tahoma"/>
            <family val="0"/>
          </rPr>
          <t xml:space="preserve">
Uses values in the same row in the column for unthinned orchard!</t>
        </r>
      </text>
    </comment>
    <comment ref="G25" authorId="0">
      <text>
        <r>
          <rPr>
            <b/>
            <sz val="8"/>
            <rFont val="Tahoma"/>
            <family val="0"/>
          </rPr>
          <t>Genetic gain</t>
        </r>
        <r>
          <rPr>
            <sz val="8"/>
            <rFont val="Tahoma"/>
            <family val="0"/>
          </rPr>
          <t xml:space="preserve">
Formula [21]
Note that pollen contamination IS considered!</t>
        </r>
      </text>
    </comment>
    <comment ref="G24" authorId="0">
      <text>
        <r>
          <rPr>
            <b/>
            <sz val="8"/>
            <rFont val="Tahoma"/>
            <family val="0"/>
          </rPr>
          <t>Selection intensity</t>
        </r>
        <r>
          <rPr>
            <sz val="8"/>
            <rFont val="Tahoma"/>
            <family val="0"/>
          </rPr>
          <t xml:space="preserve">
For seed parents if selective harvest is practiced. 
 Pollen parent selection intensity  is lower!</t>
        </r>
      </text>
    </comment>
    <comment ref="E26" authorId="0">
      <text>
        <r>
          <rPr>
            <b/>
            <sz val="8"/>
            <rFont val="Tahoma"/>
            <family val="0"/>
          </rPr>
          <t>Goodness</t>
        </r>
        <r>
          <rPr>
            <sz val="8"/>
            <rFont val="Tahoma"/>
            <family val="0"/>
          </rPr>
          <t xml:space="preserve">
Diversity not considered!
But genetic gain, selfing and pollen contamination considered!</t>
        </r>
      </text>
    </comment>
    <comment ref="F14" authorId="0">
      <text>
        <r>
          <rPr>
            <sz val="8"/>
            <rFont val="Tahoma"/>
            <family val="0"/>
          </rPr>
          <t xml:space="preserve">The worksheet uses the entry in </t>
        </r>
        <r>
          <rPr>
            <b/>
            <sz val="8"/>
            <color indexed="10"/>
            <rFont val="Tahoma"/>
            <family val="2"/>
          </rPr>
          <t>red</t>
        </r>
        <r>
          <rPr>
            <sz val="8"/>
            <rFont val="Tahoma"/>
            <family val="0"/>
          </rPr>
          <t xml:space="preserve"> to the left!</t>
        </r>
      </text>
    </comment>
    <comment ref="G18" authorId="0">
      <text>
        <r>
          <rPr>
            <b/>
            <sz val="8"/>
            <rFont val="Tahoma"/>
            <family val="0"/>
          </rPr>
          <t>Status number</t>
        </r>
        <r>
          <rPr>
            <sz val="8"/>
            <rFont val="Tahoma"/>
            <family val="0"/>
          </rPr>
          <t xml:space="preserve">
Formula [22]. 
It becomes more complex when seed parents and pollen parents are not the same.
Note that formula is approximative for low number of harvested clones and high A! It may be that A must be higher for these cases?</t>
        </r>
      </text>
    </comment>
    <comment ref="G14" authorId="0">
      <text>
        <r>
          <rPr>
            <sz val="8"/>
            <rFont val="Tahoma"/>
            <family val="0"/>
          </rPr>
          <t xml:space="preserve">The worksheet uses the entry in </t>
        </r>
        <r>
          <rPr>
            <b/>
            <sz val="8"/>
            <color indexed="10"/>
            <rFont val="Tahoma"/>
            <family val="2"/>
          </rPr>
          <t>red</t>
        </r>
        <r>
          <rPr>
            <sz val="8"/>
            <rFont val="Tahoma"/>
            <family val="0"/>
          </rPr>
          <t xml:space="preserve"> to the left for the computations in this row!</t>
        </r>
      </text>
    </comment>
    <comment ref="F15" authorId="0">
      <text>
        <r>
          <rPr>
            <sz val="8"/>
            <rFont val="Tahoma"/>
            <family val="0"/>
          </rPr>
          <t xml:space="preserve">The worksheet uses the entry in </t>
        </r>
        <r>
          <rPr>
            <b/>
            <sz val="8"/>
            <color indexed="10"/>
            <rFont val="Tahoma"/>
            <family val="2"/>
          </rPr>
          <t>red</t>
        </r>
        <r>
          <rPr>
            <sz val="8"/>
            <rFont val="Tahoma"/>
            <family val="0"/>
          </rPr>
          <t xml:space="preserve"> to the left for the computations in this row!</t>
        </r>
      </text>
    </comment>
    <comment ref="F16" authorId="0">
      <text>
        <r>
          <rPr>
            <sz val="8"/>
            <rFont val="Tahoma"/>
            <family val="0"/>
          </rPr>
          <t xml:space="preserve">The worksheet uses the entry in </t>
        </r>
        <r>
          <rPr>
            <b/>
            <sz val="8"/>
            <color indexed="10"/>
            <rFont val="Tahoma"/>
            <family val="2"/>
          </rPr>
          <t>red</t>
        </r>
        <r>
          <rPr>
            <sz val="8"/>
            <rFont val="Tahoma"/>
            <family val="0"/>
          </rPr>
          <t xml:space="preserve"> to the left for the computations in this row!</t>
        </r>
      </text>
    </comment>
    <comment ref="G15" authorId="0">
      <text>
        <r>
          <rPr>
            <sz val="8"/>
            <rFont val="Tahoma"/>
            <family val="0"/>
          </rPr>
          <t xml:space="preserve">The worksheet uses the entry in </t>
        </r>
        <r>
          <rPr>
            <b/>
            <sz val="8"/>
            <color indexed="10"/>
            <rFont val="Tahoma"/>
            <family val="2"/>
          </rPr>
          <t>red</t>
        </r>
        <r>
          <rPr>
            <sz val="8"/>
            <rFont val="Tahoma"/>
            <family val="0"/>
          </rPr>
          <t xml:space="preserve"> to the left for the computations in this row!</t>
        </r>
      </text>
    </comment>
    <comment ref="G16" authorId="0">
      <text>
        <r>
          <rPr>
            <sz val="8"/>
            <rFont val="Tahoma"/>
            <family val="0"/>
          </rPr>
          <t xml:space="preserve">The worksheet uses the entry in </t>
        </r>
        <r>
          <rPr>
            <b/>
            <sz val="8"/>
            <color indexed="10"/>
            <rFont val="Tahoma"/>
            <family val="2"/>
          </rPr>
          <t>red</t>
        </r>
        <r>
          <rPr>
            <sz val="8"/>
            <rFont val="Tahoma"/>
            <family val="0"/>
          </rPr>
          <t xml:space="preserve"> to the left for the computations in this row!</t>
        </r>
      </text>
    </comment>
    <comment ref="G19" authorId="0">
      <text>
        <r>
          <rPr>
            <sz val="8"/>
            <rFont val="Tahoma"/>
            <family val="0"/>
          </rPr>
          <t xml:space="preserve">The worksheet uses the entry in </t>
        </r>
        <r>
          <rPr>
            <b/>
            <sz val="8"/>
            <color indexed="10"/>
            <rFont val="Tahoma"/>
            <family val="2"/>
          </rPr>
          <t>red</t>
        </r>
        <r>
          <rPr>
            <sz val="8"/>
            <rFont val="Tahoma"/>
            <family val="0"/>
          </rPr>
          <t xml:space="preserve"> to the left for the computations in this row!</t>
        </r>
      </text>
    </comment>
    <comment ref="G17" authorId="0">
      <text>
        <r>
          <rPr>
            <sz val="8"/>
            <rFont val="Tahoma"/>
            <family val="0"/>
          </rPr>
          <t>The worksheet uses the value in this row in the column for unthinned orchard to the left for computing this column!</t>
        </r>
      </text>
    </comment>
    <comment ref="C20" authorId="0">
      <text>
        <r>
          <rPr>
            <b/>
            <sz val="8"/>
            <rFont val="Tahoma"/>
            <family val="0"/>
          </rPr>
          <t>Value of Gene diversity</t>
        </r>
        <r>
          <rPr>
            <sz val="8"/>
            <rFont val="Tahoma"/>
            <family val="0"/>
          </rPr>
          <t xml:space="preserve">
The value of the remaining Gene Diversity. Formula [9]</t>
        </r>
      </text>
    </comment>
    <comment ref="F33" authorId="0">
      <text>
        <r>
          <rPr>
            <b/>
            <sz val="8"/>
            <rFont val="Tahoma"/>
            <family val="0"/>
          </rPr>
          <t>dagl:</t>
        </r>
        <r>
          <rPr>
            <sz val="8"/>
            <rFont val="Tahoma"/>
            <family val="0"/>
          </rPr>
          <t xml:space="preserve">
See formula in this sheet!</t>
        </r>
      </text>
    </comment>
    <comment ref="G32" authorId="0">
      <text>
        <r>
          <rPr>
            <b/>
            <sz val="8"/>
            <rFont val="Tahoma"/>
            <family val="0"/>
          </rPr>
          <t>Selection intensity</t>
        </r>
        <r>
          <rPr>
            <sz val="8"/>
            <rFont val="Tahoma"/>
            <family val="0"/>
          </rPr>
          <t xml:space="preserve">
For pollen parents if selective harvest is practiced. 
</t>
        </r>
      </text>
    </comment>
    <comment ref="S3" authorId="0">
      <text>
        <r>
          <rPr>
            <b/>
            <sz val="8"/>
            <rFont val="Tahoma"/>
            <family val="0"/>
          </rPr>
          <t>Solver scenario</t>
        </r>
        <r>
          <rPr>
            <sz val="8"/>
            <rFont val="Tahoma"/>
            <family val="0"/>
          </rPr>
          <t xml:space="preserve">
This is a solver scenario which can be loaded into solver!
It is for optimising the clonal number so the benefit is maximised for the selective harvesting column!</t>
        </r>
      </text>
    </comment>
    <comment ref="C25" authorId="0">
      <text>
        <r>
          <rPr>
            <b/>
            <sz val="10"/>
            <color indexed="17"/>
            <rFont val="Tahoma"/>
            <family val="2"/>
          </rPr>
          <t>Selection Gain</t>
        </r>
        <r>
          <rPr>
            <sz val="8"/>
            <rFont val="Tahoma"/>
            <family val="0"/>
          </rPr>
          <t xml:space="preserve">
See formula [7]  
Note that truncation selection is assumed and that pollen contamination is not considered!</t>
        </r>
      </text>
    </comment>
    <comment ref="C6" authorId="0">
      <text>
        <r>
          <rPr>
            <sz val="8"/>
            <rFont val="Tahoma"/>
            <family val="0"/>
          </rPr>
          <t>Pollen from within the tree itself, thus how much selfing pollen the graft is exposed to.
This does not depend on the number of clones in the seed orchard.</t>
        </r>
      </text>
    </comment>
    <comment ref="C7" authorId="0">
      <text>
        <r>
          <rPr>
            <sz val="8"/>
            <rFont val="Tahoma"/>
            <family val="0"/>
          </rPr>
          <t>Pollien from a neighbourhood, there no members of the same clone is placed.</t>
        </r>
      </text>
    </comment>
    <comment ref="C8" authorId="0">
      <text>
        <r>
          <rPr>
            <sz val="8"/>
            <rFont val="Tahoma"/>
            <family val="0"/>
          </rPr>
          <t>Pollen originating from the seed orchard except the closest neighbours (see above)</t>
        </r>
      </text>
    </comment>
    <comment ref="C10" authorId="0">
      <text>
        <r>
          <rPr>
            <sz val="8"/>
            <rFont val="Tahoma"/>
            <family val="0"/>
          </rPr>
          <t>Pollen originating from outside the seed orchard (contamination, migration, wild pollen)</t>
        </r>
      </text>
    </comment>
    <comment ref="C14" authorId="2">
      <text>
        <r>
          <rPr>
            <b/>
            <sz val="10"/>
            <color indexed="17"/>
            <rFont val="Tahoma"/>
            <family val="2"/>
          </rPr>
          <t>Sibling coefficient</t>
        </r>
        <r>
          <rPr>
            <sz val="8"/>
            <rFont val="Tahoma"/>
            <family val="0"/>
          </rPr>
          <t xml:space="preserve">
The sibling coefficient (Kang 2001). If the value is 1, all clones are equally fertile.
If clones are  differently fertile, that affects the proportion of selfing versus outcrossing in the contributions from the distant seed orchard pollen. It also affects the status number.</t>
        </r>
      </text>
    </comment>
    <comment ref="C18" authorId="0">
      <text>
        <r>
          <rPr>
            <b/>
            <sz val="10"/>
            <color indexed="17"/>
            <rFont val="Tahoma"/>
            <family val="2"/>
          </rPr>
          <t>Status number</t>
        </r>
        <r>
          <rPr>
            <sz val="8"/>
            <rFont val="Tahoma"/>
            <family val="0"/>
          </rPr>
          <t xml:space="preserve">
The expected status number of the seed orchard crop, Formula [5].</t>
        </r>
      </text>
    </comment>
    <comment ref="C16" authorId="0">
      <text>
        <r>
          <rPr>
            <b/>
            <sz val="10"/>
            <rFont val="Tahoma"/>
            <family val="2"/>
          </rPr>
          <t>Production of selfed plants</t>
        </r>
        <r>
          <rPr>
            <sz val="8"/>
            <rFont val="Tahoma"/>
            <family val="0"/>
          </rPr>
          <t xml:space="preserve">
This is a factor which frequency of selfing should by multiplied with to get production as the value production which would have been obtained else. Suggested value is </t>
        </r>
        <r>
          <rPr>
            <b/>
            <sz val="8"/>
            <color indexed="57"/>
            <rFont val="Tahoma"/>
            <family val="2"/>
          </rPr>
          <t>0.5</t>
        </r>
        <r>
          <rPr>
            <sz val="8"/>
            <rFont val="Tahoma"/>
            <family val="0"/>
          </rPr>
          <t>.</t>
        </r>
      </text>
    </comment>
    <comment ref="C24" authorId="0">
      <text>
        <r>
          <rPr>
            <b/>
            <sz val="10"/>
            <color indexed="17"/>
            <rFont val="Tahoma"/>
            <family val="2"/>
          </rPr>
          <t>Selection intensity</t>
        </r>
        <r>
          <rPr>
            <sz val="8"/>
            <rFont val="Tahoma"/>
            <family val="0"/>
          </rPr>
          <t xml:space="preserve">
Selection intenstity of clones used in seed orchard compared to available candidates. 
If selective harvest is practiced, this selection intensity is for pollen parents, seed parents may be  selected more intensively at selective harvest.
The expected value by selecting the number of selected from the number of candidates from a standardized normal distribution</t>
        </r>
      </text>
    </comment>
    <comment ref="C12" authorId="0">
      <text>
        <r>
          <rPr>
            <sz val="8"/>
            <rFont val="Tahoma"/>
            <family val="0"/>
          </rPr>
          <t xml:space="preserve">
This is just an aid for standardising the sum of fertilisations. It is exressed in Formula [3]</t>
        </r>
      </text>
    </comment>
    <comment ref="C9" authorId="0">
      <text>
        <r>
          <rPr>
            <sz val="8"/>
            <rFont val="Tahoma"/>
            <family val="0"/>
          </rPr>
          <t xml:space="preserve">
The pollination share for other ramets of the same clone in the seed orchard is expressed as a fraction of the pollen from non neighbors in the seed orchard in Formula [2]</t>
        </r>
      </text>
    </comment>
    <comment ref="H13" authorId="0">
      <text>
        <r>
          <rPr>
            <b/>
            <sz val="10"/>
            <color indexed="17"/>
            <rFont val="Tahoma"/>
            <family val="2"/>
          </rPr>
          <t>Sefing share</t>
        </r>
        <r>
          <rPr>
            <sz val="8"/>
            <rFont val="Tahoma"/>
            <family val="0"/>
          </rPr>
          <t xml:space="preserve">
The expected share of selfing from the seed orchard crop out into forestry (Formula [4].</t>
        </r>
      </text>
    </comment>
    <comment ref="E10" authorId="0">
      <text>
        <r>
          <rPr>
            <b/>
            <sz val="8"/>
            <rFont val="Tahoma"/>
            <family val="0"/>
          </rPr>
          <t xml:space="preserve">Plants originating from contamination
</t>
        </r>
        <r>
          <rPr>
            <sz val="8"/>
            <rFont val="Tahoma"/>
            <family val="0"/>
          </rPr>
          <t>The share of contamination of seeds is what often is observed, it is lower than the share of contamination.</t>
        </r>
      </text>
    </comment>
    <comment ref="C26" authorId="0">
      <text>
        <r>
          <rPr>
            <b/>
            <sz val="10"/>
            <color indexed="17"/>
            <rFont val="Tahoma"/>
            <family val="2"/>
          </rPr>
          <t xml:space="preserve">Value of Genetic gain
</t>
        </r>
        <r>
          <rPr>
            <sz val="8"/>
            <rFont val="Tahoma"/>
            <family val="0"/>
          </rPr>
          <t xml:space="preserve">
The value of the Genetic gain of the seed orchard crop considering selfing and contamination. Formula [18] offers options to have different gain on father and mother side by selective harvesting. Formula  [8] is a simplification when gain is the same for both sides</t>
        </r>
      </text>
    </comment>
    <comment ref="H10" authorId="0">
      <text>
        <r>
          <rPr>
            <b/>
            <sz val="8"/>
            <rFont val="Tahoma"/>
            <family val="0"/>
          </rPr>
          <t>Share of plants with father outside the seed orchard</t>
        </r>
        <r>
          <rPr>
            <sz val="8"/>
            <rFont val="Tahoma"/>
            <family val="0"/>
          </rPr>
          <t xml:space="preserve">
</t>
        </r>
      </text>
    </comment>
    <comment ref="H15" authorId="0">
      <text>
        <r>
          <rPr>
            <b/>
            <sz val="8"/>
            <rFont val="Tahoma"/>
            <family val="0"/>
          </rPr>
          <t>Gene diversity</t>
        </r>
        <r>
          <rPr>
            <sz val="8"/>
            <rFont val="Tahoma"/>
            <family val="0"/>
          </rPr>
          <t xml:space="preserve">
</t>
        </r>
      </text>
    </comment>
    <comment ref="K3" authorId="3">
      <text>
        <r>
          <rPr>
            <sz val="8"/>
            <rFont val="Tahoma"/>
            <family val="0"/>
          </rPr>
          <t xml:space="preserve">The </t>
        </r>
        <r>
          <rPr>
            <b/>
            <sz val="8"/>
            <color indexed="10"/>
            <rFont val="Tahoma"/>
            <family val="2"/>
          </rPr>
          <t>red figures with yellow background</t>
        </r>
        <r>
          <rPr>
            <sz val="8"/>
            <color indexed="10"/>
            <rFont val="Tahoma"/>
            <family val="2"/>
          </rPr>
          <t xml:space="preserve"> </t>
        </r>
        <r>
          <rPr>
            <sz val="8"/>
            <rFont val="Tahoma"/>
            <family val="0"/>
          </rPr>
          <t>are meant to be changed by the user.</t>
        </r>
      </text>
    </comment>
    <comment ref="M3" authorId="3">
      <text>
        <r>
          <rPr>
            <b/>
            <sz val="8"/>
            <color indexed="12"/>
            <rFont val="Tahoma"/>
            <family val="2"/>
          </rPr>
          <t>Values in blue with yellow background</t>
        </r>
        <r>
          <rPr>
            <sz val="8"/>
            <rFont val="Tahoma"/>
            <family val="0"/>
          </rPr>
          <t xml:space="preserve"> are results. </t>
        </r>
        <r>
          <rPr>
            <b/>
            <sz val="8"/>
            <color indexed="40"/>
            <rFont val="Tahoma"/>
            <family val="2"/>
          </rPr>
          <t>Do not change blue values, because then the workbook will not work!</t>
        </r>
      </text>
    </comment>
    <comment ref="L3" authorId="3">
      <text>
        <r>
          <rPr>
            <sz val="8"/>
            <rFont val="Tahoma"/>
            <family val="0"/>
          </rPr>
          <t xml:space="preserve">The </t>
        </r>
        <r>
          <rPr>
            <b/>
            <sz val="8"/>
            <color indexed="10"/>
            <rFont val="Tahoma"/>
            <family val="2"/>
          </rPr>
          <t>red figures with yellow background</t>
        </r>
        <r>
          <rPr>
            <sz val="8"/>
            <color indexed="10"/>
            <rFont val="Tahoma"/>
            <family val="2"/>
          </rPr>
          <t xml:space="preserve"> </t>
        </r>
        <r>
          <rPr>
            <sz val="8"/>
            <rFont val="Tahoma"/>
            <family val="0"/>
          </rPr>
          <t>are meant to be changed by the user.
However, the value in this cell can also be used as a variable to be found by Solver.</t>
        </r>
      </text>
    </comment>
  </commentList>
</comments>
</file>

<file path=xl/comments5.xml><?xml version="1.0" encoding="utf-8"?>
<comments xmlns="http://schemas.openxmlformats.org/spreadsheetml/2006/main">
  <authors>
    <author>dagl</author>
    <author>Kyu-Suk Kang</author>
  </authors>
  <commentList>
    <comment ref="C23" authorId="0">
      <text>
        <r>
          <rPr>
            <sz val="8"/>
            <rFont val="Tahoma"/>
            <family val="0"/>
          </rPr>
          <t xml:space="preserve"> The correlation between the measured values  and the "true" values.
rTI is similar to heritability.</t>
        </r>
      </text>
    </comment>
    <comment ref="C21" authorId="0">
      <text>
        <r>
          <rPr>
            <sz val="8"/>
            <rFont val="Tahoma"/>
            <family val="0"/>
          </rPr>
          <t>The coefficient of variance for additive gene action among genotypes, the standard deviation for breeding values for "value for forestry", expressed in a scale where the average value for forestry is 1.</t>
        </r>
      </text>
    </comment>
    <comment ref="C19" authorId="0">
      <text>
        <r>
          <rPr>
            <sz val="8"/>
            <rFont val="Tahoma"/>
            <family val="0"/>
          </rPr>
          <t>The contaminating pollen is inferior. Could be the breeding value the unimproved forest, but could also be cause of maladaptation. The wild pollen may not be adapted to the area the seed orchard is expected to serve.</t>
        </r>
      </text>
    </comment>
    <comment ref="B19" authorId="0">
      <text>
        <r>
          <rPr>
            <sz val="8"/>
            <rFont val="Tahoma"/>
            <family val="0"/>
          </rPr>
          <t xml:space="preserve">This is the breeding value of the contaminating pollen as a share of the breeding value of the candidates. It may reflect the response to selection by the initial plus tree selection.
A suggested value is </t>
        </r>
        <r>
          <rPr>
            <b/>
            <sz val="8"/>
            <color indexed="10"/>
            <rFont val="Tahoma"/>
            <family val="2"/>
          </rPr>
          <t>0.94</t>
        </r>
        <r>
          <rPr>
            <sz val="8"/>
            <rFont val="Tahoma"/>
            <family val="0"/>
          </rPr>
          <t xml:space="preserve"> , this relflects 6 percent improvement by the initial plus tree selection, which has been suggested for the Swedish program.</t>
        </r>
      </text>
    </comment>
    <comment ref="C17" authorId="0">
      <text>
        <r>
          <rPr>
            <sz val="8"/>
            <rFont val="Tahoma"/>
            <family val="0"/>
          </rPr>
          <t>The coefficient corresponding to one unit production loss assigned per unit diversity loss (group coancestry). That corresponds to complete homozygosity.
Suggested value</t>
        </r>
        <r>
          <rPr>
            <b/>
            <sz val="8"/>
            <color indexed="17"/>
            <rFont val="Tahoma"/>
            <family val="2"/>
          </rPr>
          <t xml:space="preserve"> 0.4</t>
        </r>
        <r>
          <rPr>
            <sz val="8"/>
            <rFont val="Tahoma"/>
            <family val="0"/>
          </rPr>
          <t>.
Alternatives: 
Suggested value =</t>
        </r>
        <r>
          <rPr>
            <sz val="8"/>
            <rFont val="Tahoma"/>
            <family val="2"/>
          </rPr>
          <t xml:space="preserve"> 0</t>
        </r>
        <r>
          <rPr>
            <sz val="8"/>
            <color indexed="59"/>
            <rFont val="Tahoma"/>
            <family val="2"/>
          </rPr>
          <t>, that mean diversity has no value. 
An alternative would be 1, which means that the proportional loss of benefit to the seed orchard is the same as the coefficient of inbreeding after random mating of the forest the seed orchard crop results in.</t>
        </r>
      </text>
    </comment>
    <comment ref="C13" authorId="0">
      <text>
        <r>
          <rPr>
            <sz val="8"/>
            <rFont val="Tahoma"/>
            <family val="0"/>
          </rPr>
          <t>The effeciency of selfing pollen in a mixture with outcrossing pollen, the share of the selfing pollen which will result in vital seeds compared to the outcrossing pollen</t>
        </r>
      </text>
    </comment>
    <comment ref="B11" authorId="1">
      <text>
        <r>
          <rPr>
            <sz val="8"/>
            <rFont val="Tahoma"/>
            <family val="0"/>
          </rPr>
          <t>The sibling coefficient (Kang 2001). If the value is 1, all clones are equally fertile.
If clones are  differently fertile, that affects the proportion of selfing versus outcrossing in the contributions from the distant seed orchard pollen. It also affects the status number.</t>
        </r>
      </text>
    </comment>
    <comment ref="B6" authorId="0">
      <text>
        <r>
          <rPr>
            <sz val="8"/>
            <rFont val="Tahoma"/>
            <family val="0"/>
          </rPr>
          <t>Pollen originating from outside the seed orchard (contamination, migration, wild pollen)</t>
        </r>
      </text>
    </comment>
    <comment ref="B5" authorId="0">
      <text>
        <r>
          <rPr>
            <sz val="8"/>
            <rFont val="Tahoma"/>
            <family val="0"/>
          </rPr>
          <t>Pollen originating from the seed orchard except the closest neighbours (see above)</t>
        </r>
      </text>
    </comment>
    <comment ref="B4" authorId="0">
      <text>
        <r>
          <rPr>
            <sz val="8"/>
            <rFont val="Tahoma"/>
            <family val="0"/>
          </rPr>
          <t>Pollien from a neighbourhood, there no members of the same clone is placed.</t>
        </r>
      </text>
    </comment>
    <comment ref="B3" authorId="0">
      <text>
        <r>
          <rPr>
            <sz val="8"/>
            <rFont val="Tahoma"/>
            <family val="0"/>
          </rPr>
          <t>Pollen from within the tree itself, thus how much selfing pollen the graft is exposed to.
This does not depend on the number of clones in the seed orchard.</t>
        </r>
      </text>
    </comment>
    <comment ref="B2" authorId="0">
      <text>
        <r>
          <rPr>
            <b/>
            <sz val="8"/>
            <rFont val="Tahoma"/>
            <family val="0"/>
          </rPr>
          <t>This scenario is what I expect to be relevant for Swedish seed orchards</t>
        </r>
        <r>
          <rPr>
            <sz val="8"/>
            <rFont val="Tahoma"/>
            <family val="0"/>
          </rPr>
          <t xml:space="preserve">
It has been updated for n=300 in main scenario</t>
        </r>
      </text>
    </comment>
  </commentList>
</comments>
</file>

<file path=xl/comments6.xml><?xml version="1.0" encoding="utf-8"?>
<comments xmlns="http://schemas.openxmlformats.org/spreadsheetml/2006/main">
  <authors>
    <author>Dag Lindgren</author>
    <author>dagl</author>
  </authors>
  <commentList>
    <comment ref="K2" authorId="0">
      <text>
        <r>
          <rPr>
            <b/>
            <sz val="8"/>
            <rFont val="Tahoma"/>
            <family val="2"/>
          </rPr>
          <t>Literature</t>
        </r>
        <r>
          <rPr>
            <sz val="8"/>
            <rFont val="Tahoma"/>
            <family val="0"/>
          </rPr>
          <t xml:space="preserve">
 Lindgren D, Gea L.D. &amp; Jefferson P.A. 1996. Loss of genetic diversity monitored by status 
    number.  Silvae Genetica 45: 52-59.
 Lindgren D. &amp; Kang K.S. 1997. Status number - a useful tool for tree breeding. Research 
    Report of the Forest Genetics Research Institute, Korea 33: 154-165.
 Bila A. &amp; Lindgren D. 1998.  Fertility variation in Milletia sthulimannii, Brachystegia
    speciformis, Brachystegia bohemi and Leucaena leucocephala and its effects on relatedness
    in seeds. Forest Genetics 5(2): 119-129.
 Lindgren D. &amp; Mullin T.J. 1998. Relatedness and status number in seed orchard crops. 
    Canadian Journal of Forest Research 28: 276-283.
 Kang K.S. &amp; Lindgren D. 1998. Fertility variation and its effect on the relatedness of seeds of 
    Pinus densiflora, Pinus thunbergii and Pinus koraiensis clonal seed orchards. Silvae Genetica
    47(4): 196-201.
 Ruotsalainen, S. Lindgren, D. &amp; Mullin, T.J. 2000. Some formulas concerned with pollen 
    contamination have constrained use in Lindgren and Mullin (1998). Relatedness and
    status number in seed orchard crops. Canadian Journal of Forest Research 30: 333.
Kang, KS, Lindgren.D &amp; T.J. Mullin. 2001. Prediction of genetic gain and gene diversity in seed orchard crops under alternative management strategies. TAG 103;1099-1107.
Kang, K.S. 2001. Genetic gain and gene diversity of seed orchard crops.  Acta Universitatis Agriculturae Sueciae. Silvestria  187 75pp+ 11 chapters. </t>
        </r>
      </text>
    </comment>
    <comment ref="A3" authorId="0">
      <text>
        <r>
          <rPr>
            <b/>
            <sz val="14"/>
            <color indexed="57"/>
            <rFont val="Tahoma"/>
            <family val="2"/>
          </rPr>
          <t>EXAMPLES to ORCHARD_MANAGEMENT</t>
        </r>
        <r>
          <rPr>
            <sz val="8"/>
            <rFont val="Tahoma"/>
            <family val="0"/>
          </rPr>
          <t xml:space="preserve"> 
Kang, K-S &amp; Dag Lindgren, last edit DL 01-03-12
For training on the work book ORCHARD_MANAGEMENT_2001.xls
Setting
You are the responsible manager for a seed orchard of Pinus scotch var. whiskeys, and receive the questions listed below from your boss for consideration concerning the wisest seed orchard management. The seed orchard has 100 unrelated and non-inbred clones from the initial plus-tree selection, and pollen contamination is 40%. Contamination pollen contribute equally to all clones.
The breeding values of the orchard clones are known. The average breeding value of the initial plus-trees is set as 0 (this is just to get a reference point). The standard deviation of breeding values of clones is 1. The contaminating pollen has a breeding value which is usually less than zero (not as good as the initial plustrees), so the contamination inferiority (i.e., breeding value of contaminating pollen) is considered as –1.
</t>
        </r>
        <r>
          <rPr>
            <b/>
            <sz val="8"/>
            <color indexed="10"/>
            <rFont val="Tahoma"/>
            <family val="2"/>
          </rPr>
          <t>Example 1</t>
        </r>
        <r>
          <rPr>
            <sz val="8"/>
            <rFont val="Tahoma"/>
            <family val="0"/>
          </rPr>
          <t xml:space="preserve">
1-1.What are the predicted gain (G), status number (Ns) and gene diversity (GD) when seeds are harvested only from the best 10 clones without any genetic thinning?
1-2. What about genetic thinning with removing of 90% inferior clones? Thus, the 10 % best clones remains.
1-3. Compare the two management regimes given above as regards gain and diversity in the seeds. What genetic thinning will be required to get the same gene diversity as in Example 1-1, and what will the corresponding genetic gain be?
Solution
Use workbook: ORCHARD_MANAGEMENT_2001 (simplest). Insert the all red values given in the situation and example. For alternatives A (Harvest best clones, no thinning) and B (Genetic thinning) , both genetic gain and gene diversity are as follows:
1-1 Harvest 10% best clones and no thinning (A): G = 0.665, Ns = 34.6 and GD = 0.9861-2 Genetic thinning 90% inferior clones (B): G = 1.184, Ns = 15.6 and GD = 0.9681-3 Balancing point: One can be between 10% selective harvest and 78% genetic thinning (22 clones remains after genetic thinning). G=0.866.
</t>
        </r>
        <r>
          <rPr>
            <b/>
            <sz val="8"/>
            <color indexed="10"/>
            <rFont val="Tahoma"/>
            <family val="2"/>
          </rPr>
          <t>Example 2</t>
        </r>
        <r>
          <rPr>
            <sz val="8"/>
            <rFont val="Tahoma"/>
            <family val="0"/>
          </rPr>
          <t xml:space="preserve">
Now, you get the information of fertility variation (in terms of CV) among parents, which is estimated to 100%.
2-1) What are genetic gain, Ns and variance effective population size (Ne(v)) if the seeds are collected from the best 50% clones without genetic thinning?
2-2) How about when the seeds are harvested from the remaining clones after genetic thinning of 50 % inferior clones?
2-3) If the seeds are collected from 20 best clones after the 50 % thinning?
Solution
Use workbook: ORCHARD_MANAGEMENT_2001 (advanced). Insert the all red values given.
2-1) Harvest 50 % best clones, no thinning: G = 0.196, Ns = 56.2 and Ne(v) = 112..4
2-2) Harvest all clones after 50 % genetic thinning: G = 0.433, Ns = 39.1 and Ne(v) = 78.1
2-3) Harvest 20% best clones after 50% genetic thinning: G = 0.730, Ns = 24.6 and Ne(v) = 49.3
</t>
        </r>
        <r>
          <rPr>
            <b/>
            <sz val="8"/>
            <color indexed="10"/>
            <rFont val="Tahoma"/>
            <family val="2"/>
          </rPr>
          <t>Example 3</t>
        </r>
        <r>
          <rPr>
            <sz val="8"/>
            <rFont val="Tahoma"/>
            <family val="0"/>
          </rPr>
          <t xml:space="preserve">
The seed orchard is genetically thinned down to 40 clones, a part of the seed orchard is completely replanted with 10 ten of the clones which remain in the seed orchard and 10 other clones. Seeds are harvested from the newplanted part before pollen production where has become important (thus the orchard pollen comes from the 40 clones around). Another problem which got the same answer is: there are 50 clones remaining in the seed orchard. There is a sexual assymmetry so 40 of the clones produce pollen and 20 seeds. The male fertility and female fertility are the same for all clones which has a reproductive output.  What are the values of  Ns and Ne(v) ? Speculate about under what condition the gain estimates given in the worksheet are relevant!
Solution
Use workbook: ORCHARD_MANAGEMENT_2001 . Insert the relevant red values (e.g. Nf = 40, Nm=20 and Nfm=10). In advanced insert CV = 0.  
  Ns =  54.1 and Ne(v) = ?
50 clones contribute to the progeny
.....
</t>
        </r>
        <r>
          <rPr>
            <b/>
            <sz val="8"/>
            <color indexed="10"/>
            <rFont val="Tahoma"/>
            <family val="2"/>
          </rPr>
          <t>Example 4</t>
        </r>
        <r>
          <rPr>
            <sz val="8"/>
            <rFont val="Tahoma"/>
            <family val="0"/>
          </rPr>
          <t xml:space="preserve">
You have further information on the fertility variation. Fertility variation (CVm) of mother clones is 100 % and that (CVf) of father parents is 150 %. There is a negative correlation between maternal and paternal fertility (r = -0.2). What are the values of genetic gain and status number for the initial seed orchard and for the selective harvest of 50 % best clones? If the correlation coefficient is 0.2, what results do you get? Compare the results for both cases of correlation, why do you think things change?
Solution
Use workbook: ORCHARD_MANAGEMENT_2001 (more advanced). Insert all red values relevant for the situation.
  r = -0.2Alternative 1 : G = -0.200, Ns = 99.8 and Ne(v) = 275.9
Alternative 2 : G = 0.196, Ns = 71.7 and Ne(v) = 198.4
  r = 0.2Alternative 1 : G = -0.200, Ns = 84.6 and Ne(v) = 184.3
Alternative 2 : G = 0.196, Ns = 60.8 and Ne(v) = 132.6
The change in correlation has no effect on gain, but gene diversity get higher if there is a negative correlation. A negative correlation makes generally total fertility more equal and thus fertility variation lower and thus gene diversity higher.
Acknowledgements: We are grateful for helpful comments, in particular from Darius Danusevicius and Milan Lstiburek.
</t>
        </r>
      </text>
    </comment>
    <comment ref="K4" authorId="0">
      <text>
        <r>
          <rPr>
            <sz val="8"/>
            <rFont val="Tahoma"/>
            <family val="0"/>
          </rPr>
          <t>The following five cells exemplify the meaning of different colours and fonts.</t>
        </r>
      </text>
    </comment>
    <comment ref="L4" authorId="0">
      <text>
        <r>
          <rPr>
            <sz val="8"/>
            <rFont val="Tahoma"/>
            <family val="0"/>
          </rPr>
          <t xml:space="preserve">The </t>
        </r>
        <r>
          <rPr>
            <b/>
            <sz val="8"/>
            <color indexed="10"/>
            <rFont val="Tahoma"/>
            <family val="2"/>
          </rPr>
          <t>red figures with yellow background</t>
        </r>
        <r>
          <rPr>
            <sz val="8"/>
            <color indexed="10"/>
            <rFont val="Tahoma"/>
            <family val="2"/>
          </rPr>
          <t xml:space="preserve"> </t>
        </r>
        <r>
          <rPr>
            <sz val="8"/>
            <rFont val="Tahoma"/>
            <family val="0"/>
          </rPr>
          <t>are meant to be changed by the user.</t>
        </r>
      </text>
    </comment>
    <comment ref="M4" authorId="0">
      <text>
        <r>
          <rPr>
            <sz val="8"/>
            <rFont val="Tahoma"/>
            <family val="0"/>
          </rPr>
          <t xml:space="preserve">The </t>
        </r>
        <r>
          <rPr>
            <b/>
            <i/>
            <sz val="8"/>
            <color indexed="10"/>
            <rFont val="Tahoma"/>
            <family val="2"/>
          </rPr>
          <t>red figures without yellow background</t>
        </r>
        <r>
          <rPr>
            <sz val="8"/>
            <rFont val="Tahoma"/>
            <family val="0"/>
          </rPr>
          <t xml:space="preserve"> are better not to be changed unless you are confident in what you are doing! But once you understand the more sophisticated details of the worksheet you may find it very useful to be able to control these.
Figures in </t>
        </r>
        <r>
          <rPr>
            <i/>
            <sz val="8"/>
            <rFont val="Tahoma"/>
            <family val="2"/>
          </rPr>
          <t>italics</t>
        </r>
        <r>
          <rPr>
            <sz val="8"/>
            <rFont val="Tahoma"/>
            <family val="0"/>
          </rPr>
          <t xml:space="preserve"> in some of the worksheets of this workbook means that they refer to gain!</t>
        </r>
      </text>
    </comment>
    <comment ref="N4" authorId="0">
      <text>
        <r>
          <rPr>
            <b/>
            <sz val="8"/>
            <color indexed="12"/>
            <rFont val="Tahoma"/>
            <family val="2"/>
          </rPr>
          <t>Bold values in blue with yellow background</t>
        </r>
        <r>
          <rPr>
            <sz val="8"/>
            <rFont val="Tahoma"/>
            <family val="0"/>
          </rPr>
          <t xml:space="preserve"> are the main result. </t>
        </r>
        <r>
          <rPr>
            <b/>
            <sz val="8"/>
            <color indexed="40"/>
            <rFont val="Tahoma"/>
            <family val="2"/>
          </rPr>
          <t>Do not change blue values, because then the workbook will not work!</t>
        </r>
      </text>
    </comment>
    <comment ref="O4" authorId="0">
      <text>
        <r>
          <rPr>
            <sz val="8"/>
            <color indexed="12"/>
            <rFont val="Tahoma"/>
            <family val="2"/>
          </rPr>
          <t>Unbolded values in blue</t>
        </r>
        <r>
          <rPr>
            <sz val="8"/>
            <rFont val="Tahoma"/>
            <family val="0"/>
          </rPr>
          <t xml:space="preserve"> are considered minor or intermediary results. </t>
        </r>
        <r>
          <rPr>
            <sz val="8"/>
            <color indexed="40"/>
            <rFont val="Tahoma"/>
            <family val="2"/>
          </rPr>
          <t>Do not change blue values, because then the workbook will not work!</t>
        </r>
      </text>
    </comment>
    <comment ref="P4" authorId="0">
      <text>
        <r>
          <rPr>
            <sz val="8"/>
            <rFont val="Tahoma"/>
            <family val="0"/>
          </rPr>
          <t>Reference cell for further development of this simulator (cell need to be moved later or content need to be changed).</t>
        </r>
      </text>
    </comment>
    <comment ref="G3" authorId="0">
      <text>
        <r>
          <rPr>
            <sz val="8"/>
            <rFont val="Tahoma"/>
            <family val="0"/>
          </rPr>
          <t>This deterministic simulator was initially developed by Dag Lindgren (dag.lindgren@genfys.slu.se) in 1996-1998. 
The workbook has in the period 1999-2001 been developed mainly by Kyu-Suk Kang. The last edits during that period were done in August, 2001. It was partly made in MS EXCEL 2000 for Windows. The name of that older version is ORCHARD_MANAGEMENT_2001.xls.
Since  2003, Dag Lindgren improves it,still using EXCEL 2000 for Windows. The file got the name
ORCHARD_MANAGEMENT_2003.XLS.</t>
        </r>
      </text>
    </comment>
    <comment ref="D3" authorId="0">
      <text>
        <r>
          <rPr>
            <sz val="8"/>
            <rFont val="Tahoma"/>
            <family val="0"/>
          </rPr>
          <t xml:space="preserve">
We should move explanation into comments
</t>
        </r>
      </text>
    </comment>
    <comment ref="D2" authorId="1">
      <text>
        <r>
          <rPr>
            <sz val="8"/>
            <rFont val="Tahoma"/>
            <family val="0"/>
          </rPr>
          <t>A long row of persons has been helpful in developing this workbook.</t>
        </r>
      </text>
    </comment>
    <comment ref="C3" authorId="1">
      <text>
        <r>
          <rPr>
            <b/>
            <sz val="8"/>
            <rFont val="Tahoma"/>
            <family val="0"/>
          </rPr>
          <t>dagl:</t>
        </r>
        <r>
          <rPr>
            <sz val="8"/>
            <rFont val="Tahoma"/>
            <family val="0"/>
          </rPr>
          <t xml:space="preserve">
A new worksheet has been included for optimal numb er of clones</t>
        </r>
      </text>
    </comment>
    <comment ref="C2" authorId="1">
      <text>
        <r>
          <rPr>
            <b/>
            <sz val="10"/>
            <color indexed="17"/>
            <rFont val="Tahoma"/>
            <family val="2"/>
          </rPr>
          <t>Introduction</t>
        </r>
        <r>
          <rPr>
            <sz val="8"/>
            <rFont val="Tahoma"/>
            <family val="2"/>
          </rPr>
          <t xml:space="preserve">
This workbook considers clonal (grafted) seed orchards. Gain and Gene Diversity of the </t>
        </r>
        <r>
          <rPr>
            <sz val="8"/>
            <rFont val="Tahoma"/>
            <family val="0"/>
          </rPr>
          <t>seed orchard crop is derived as a function of number of clones, extent of selective harvesting and genetic thinning, considerijng pollen contamination and fertility variation. For further information, see the "Explanation" sheet!</t>
        </r>
      </text>
    </comment>
    <comment ref="C4" authorId="1">
      <text>
        <r>
          <rPr>
            <b/>
            <sz val="10"/>
            <color indexed="17"/>
            <rFont val="Tahoma"/>
            <family val="2"/>
          </rPr>
          <t>Operation</t>
        </r>
        <r>
          <rPr>
            <sz val="8"/>
            <rFont val="Tahoma"/>
            <family val="0"/>
          </rPr>
          <t xml:space="preserve">
This workbook is operated by changing red values.</t>
        </r>
      </text>
    </comment>
  </commentList>
</comments>
</file>

<file path=xl/comments7.xml><?xml version="1.0" encoding="utf-8"?>
<comments xmlns="http://schemas.openxmlformats.org/spreadsheetml/2006/main">
  <authors>
    <author>Dag Lindgren</author>
  </authors>
  <commentList>
    <comment ref="A1" authorId="0">
      <text>
        <r>
          <rPr>
            <b/>
            <sz val="8"/>
            <rFont val="Tahoma"/>
            <family val="0"/>
          </rPr>
          <t>This sheet is a very simplified version only for selective cone harvest. It is written in Swedish for Swedish domestic use by people who are not specialists in breeding theory.</t>
        </r>
        <r>
          <rPr>
            <sz val="8"/>
            <rFont val="Tahoma"/>
            <family val="0"/>
          </rPr>
          <t xml:space="preserve">
</t>
        </r>
      </text>
    </comment>
    <comment ref="B1" authorId="0">
      <text>
        <r>
          <rPr>
            <b/>
            <sz val="8"/>
            <rFont val="Tahoma"/>
            <family val="0"/>
          </rPr>
          <t>Det här arbetsarket riktar sig till svenskar som operativt eller legalt intresserar sig för särplockningsproblematiken på ett enkelt sätt. Det finns utförligare förklaringar och mer komplicerade alternativ i den engelska verisionen. Det kan även utnyttjas av professionella som en introduktion innan de börjar med den mer krävande engelska delen.</t>
        </r>
      </text>
    </comment>
    <comment ref="K2" authorId="0">
      <text>
        <r>
          <rPr>
            <b/>
            <sz val="8"/>
            <rFont val="Tahoma"/>
            <family val="0"/>
          </rPr>
          <t xml:space="preserve">Pi är fruktbarhet av klon i och </t>
        </r>
        <r>
          <rPr>
            <b/>
            <i/>
            <sz val="8"/>
            <rFont val="Tahoma"/>
            <family val="2"/>
          </rPr>
          <t xml:space="preserve">i  </t>
        </r>
        <r>
          <rPr>
            <b/>
            <sz val="8"/>
            <rFont val="Tahoma"/>
            <family val="2"/>
          </rPr>
          <t xml:space="preserve">är selektionsintensitet </t>
        </r>
      </text>
    </comment>
    <comment ref="A3" authorId="0">
      <text>
        <r>
          <rPr>
            <b/>
            <sz val="8"/>
            <rFont val="Tahoma"/>
            <family val="0"/>
          </rPr>
          <t>Alla kloner i plantagen fungerar som fäder</t>
        </r>
        <r>
          <rPr>
            <sz val="8"/>
            <rFont val="Tahoma"/>
            <family val="0"/>
          </rPr>
          <t xml:space="preserve">
</t>
        </r>
      </text>
    </comment>
    <comment ref="A4" authorId="0">
      <text>
        <r>
          <rPr>
            <sz val="8"/>
            <rFont val="Tahoma"/>
            <family val="0"/>
          </rPr>
          <t xml:space="preserve">Bara de kloner som det plockas kottar från fungerar som mödrar
</t>
        </r>
      </text>
    </comment>
    <comment ref="A5" authorId="0">
      <text>
        <r>
          <rPr>
            <b/>
            <sz val="8"/>
            <rFont val="Tahoma"/>
            <family val="0"/>
          </rPr>
          <t>Fruktbarhetsvariationer mellan klonerna uttrycks med A. De antas vara lika stora på han och honsidan. A kan tolkas som hur mänga gånger fler kloner man måst ha för att få samma effektiva antal. A kan inte vara mindre än 1. Rekommenderade skattningar är 1.8 för gran och 1.6 för tall.</t>
        </r>
      </text>
    </comment>
    <comment ref="A6" authorId="0">
      <text>
        <r>
          <rPr>
            <b/>
            <sz val="8"/>
            <rFont val="Tahoma"/>
            <family val="0"/>
          </rPr>
          <t>Pollenkontaminationen i plantagen är den andel befruktande pollen som inte kommer från plantageklonerna. Lämpliga värden kan vara 0.5 för tall och 0.4 för gran.</t>
        </r>
        <r>
          <rPr>
            <sz val="8"/>
            <rFont val="Tahoma"/>
            <family val="0"/>
          </rPr>
          <t xml:space="preserve">
</t>
        </r>
      </text>
    </comment>
    <comment ref="A7" authorId="0">
      <text>
        <r>
          <rPr>
            <b/>
            <sz val="8"/>
            <rFont val="Tahoma"/>
            <family val="0"/>
          </rPr>
          <t xml:space="preserve">Detta är uttryckt i variationskoefficient mellan plusträd. Medelvärdet för alla plantagekloner är referens. </t>
        </r>
        <r>
          <rPr>
            <sz val="8"/>
            <rFont val="Tahoma"/>
            <family val="0"/>
          </rPr>
          <t xml:space="preserve">
</t>
        </r>
      </text>
    </comment>
    <comment ref="A8" authorId="0">
      <text>
        <r>
          <rPr>
            <b/>
            <sz val="8"/>
            <rFont val="Tahoma"/>
            <family val="0"/>
          </rPr>
          <t>Det effektiva antatet är ett uttryck för plantageskördens diversitet. I en ideal fröplantage blir det effektiva antalet och klonantalet lika</t>
        </r>
        <r>
          <rPr>
            <sz val="8"/>
            <rFont val="Tahoma"/>
            <family val="0"/>
          </rPr>
          <t xml:space="preserve">
</t>
        </r>
      </text>
    </comment>
  </commentList>
</comments>
</file>

<file path=xl/comments8.xml><?xml version="1.0" encoding="utf-8"?>
<comments xmlns="http://schemas.openxmlformats.org/spreadsheetml/2006/main">
  <authors>
    <author>Dag Lindgren</author>
    <author>dagl</author>
    <author>argocd</author>
  </authors>
  <commentList>
    <comment ref="B2" authorId="0">
      <text>
        <r>
          <rPr>
            <b/>
            <sz val="8"/>
            <color indexed="10"/>
            <rFont val="Tahoma"/>
            <family val="2"/>
          </rPr>
          <t xml:space="preserve">PURPOSE
</t>
        </r>
        <r>
          <rPr>
            <b/>
            <sz val="8"/>
            <rFont val="Tahoma"/>
            <family val="2"/>
          </rPr>
          <t xml:space="preserve">This simulator PREDICTs the genetic consequences of different deployment possibilites for a </t>
        </r>
        <r>
          <rPr>
            <b/>
            <i/>
            <sz val="8"/>
            <rFont val="Tahoma"/>
            <family val="2"/>
          </rPr>
          <t>specific</t>
        </r>
        <r>
          <rPr>
            <b/>
            <sz val="8"/>
            <rFont val="Tahoma"/>
            <family val="2"/>
          </rPr>
          <t xml:space="preserve"> planned clonal seed orchard. 
The work book is meant for finding the optimal deployed proportions (ramet number) of each candidate clone and offers tools which are helpful to find them and to compare different alternatives. </t>
        </r>
      </text>
    </comment>
    <comment ref="N1" authorId="0">
      <text>
        <r>
          <rPr>
            <b/>
            <sz val="10"/>
            <rFont val="Tahoma"/>
            <family val="2"/>
          </rPr>
          <t xml:space="preserve">Assumptions
</t>
        </r>
        <r>
          <rPr>
            <sz val="8"/>
            <rFont val="Tahoma"/>
            <family val="0"/>
          </rPr>
          <t xml:space="preserve">
Pollen contamination (gene flow from sourrounding) will not be considered in this workbook.
Male and female reproductive success is assumed proprtional to ramet number and the same for all clones.
- the unimproved forest is 100% (or, differetnly expressed, 0) 
- the predictions for the breeding value for the goal character is correct (there is often a problem here).
Some of these simplifications are unimportant, some can be relaxed, for some it is possible to extend the theory to more general conditions.</t>
        </r>
      </text>
    </comment>
    <comment ref="N3" authorId="0">
      <text>
        <r>
          <rPr>
            <sz val="8"/>
            <color indexed="10"/>
            <rFont val="Tahoma"/>
            <family val="2"/>
          </rPr>
          <t>The initial settings</t>
        </r>
        <r>
          <rPr>
            <sz val="8"/>
            <rFont val="Tahoma"/>
            <family val="0"/>
          </rPr>
          <t xml:space="preserve"> (i.e. the settings  present when you open the worksheet the 1st time)  usually </t>
        </r>
        <r>
          <rPr>
            <sz val="8"/>
            <color indexed="10"/>
            <rFont val="Tahoma"/>
            <family val="2"/>
          </rPr>
          <t>carry messages</t>
        </r>
        <r>
          <rPr>
            <sz val="8"/>
            <rFont val="Tahoma"/>
            <family val="0"/>
          </rPr>
          <t xml:space="preserve">. The initial values in this worksheet are set to be relevant for a planned P taeda seed orchard.
</t>
        </r>
      </text>
    </comment>
    <comment ref="E2" authorId="0">
      <text>
        <r>
          <rPr>
            <b/>
            <sz val="8"/>
            <color indexed="14"/>
            <rFont val="Tahoma"/>
            <family val="2"/>
          </rPr>
          <t>Downloading</t>
        </r>
        <r>
          <rPr>
            <sz val="8"/>
            <rFont val="Tahoma"/>
            <family val="0"/>
          </rPr>
          <t xml:space="preserve">
On my web-browser, when you point at a link, which will leads to a file, right-click and when select "Save Target As ..." to download. On some modems downloading may be too slow.
</t>
        </r>
        <r>
          <rPr>
            <b/>
            <sz val="8"/>
            <color indexed="14"/>
            <rFont val="Tahoma"/>
            <family val="2"/>
          </rPr>
          <t>Macros</t>
        </r>
        <r>
          <rPr>
            <sz val="8"/>
            <rFont val="Tahoma"/>
            <family val="0"/>
          </rPr>
          <t xml:space="preserve">
Macros must be enabled to run the worksheets (if there are macros). A reason for the appearance of NAME? is that the macros do not work. When importing EXCEL, macros must be enabled. It seems to be a function in EXCEL Tools - Macro - Security, which can switch off "unsigned non authorized" macros, if this happens this security feature must adapted to the need of running these macros.</t>
        </r>
      </text>
    </comment>
    <comment ref="F2" authorId="0">
      <text>
        <r>
          <rPr>
            <sz val="8"/>
            <rFont val="Tahoma"/>
            <family val="0"/>
          </rPr>
          <t>If cells do not show numbers, it can be as you inserted an unreasonable value. Or it may just not be space enough for the value.
The macros may not be enabled.
 You may look at the wrong place of the sheet.</t>
        </r>
      </text>
    </comment>
    <comment ref="K1" authorId="0">
      <text>
        <r>
          <rPr>
            <sz val="8"/>
            <rFont val="Tahoma"/>
            <family val="0"/>
          </rPr>
          <t>This simulator was initially developed by Dag Lindgren (dag.lindgren@genfys.slu.se) in early 2003. It was made in MS EXCEL 2000 for Windows.</t>
        </r>
      </text>
    </comment>
    <comment ref="K2" authorId="0">
      <text>
        <r>
          <rPr>
            <b/>
            <sz val="8"/>
            <color indexed="17"/>
            <rFont val="Tahoma"/>
            <family val="2"/>
          </rPr>
          <t>Macros</t>
        </r>
        <r>
          <rPr>
            <sz val="8"/>
            <rFont val="Tahoma"/>
            <family val="0"/>
          </rPr>
          <t xml:space="preserve">
Macros must be enabled to run the worksheets. A reason for the appearance of NAME? is that the macros do not work. When importing EXCEL sheets, macros must be enabled. It seems to be a function in EXCEL Tools - Macro - Security, which can switch off "unsigned non authorized" macros, if this happens this security feature must adapted to the need of running these macros.
</t>
        </r>
        <r>
          <rPr>
            <b/>
            <sz val="8"/>
            <color indexed="17"/>
            <rFont val="Tahoma"/>
            <family val="2"/>
          </rPr>
          <t>Program development</t>
        </r>
        <r>
          <rPr>
            <sz val="8"/>
            <rFont val="Tahoma"/>
            <family val="0"/>
          </rPr>
          <t xml:space="preserve">
Programs may have their evolution. Some programs will be further developed. A recently created file is rather likely to be the object for improvement and a new version may appear. Old EXCEL-files are not likely to change or be severely wrong. Many of them could be improved (management of non actual programs is not considered a major task for me), but when it is likely to be as quite new programs. We often keep older versions available (it is also a service for those who do not use updated computer systems). 
</t>
        </r>
        <r>
          <rPr>
            <b/>
            <sz val="8"/>
            <color indexed="17"/>
            <rFont val="Tahoma"/>
            <family val="2"/>
          </rPr>
          <t>Computer peculiarities</t>
        </r>
        <r>
          <rPr>
            <sz val="8"/>
            <rFont val="Tahoma"/>
            <family val="0"/>
          </rPr>
          <t xml:space="preserve">
Much of what occurs on your screen is related to your local circumstances and settings, and thus not controlled by me. How the texts appear on screen may be up to your computer settings. Often the font used is just the default. Non-Latin characters (e.g. the Swedish letters and many Greek symbols) may vanish or appear odd. The screen size, screen setting and magnification are factors which partly depend on your own settings or circumstances, but matters for how your view appears. You may, especially at first glance, find it annoying that too much information is available, and that you can find more things both rightwards and downwards. To get an overview, you can try a lower magnification percentage. To widen columns may sometimes help when the cell is not readable. MS equation editor has been used for explanatory reasons (to understand a formula by the references in a cell is difficult), but many computers have not this facility installed, and if so you may only see empty boxes.
</t>
        </r>
        <r>
          <rPr>
            <b/>
            <sz val="8"/>
            <color indexed="17"/>
            <rFont val="Tahoma"/>
            <family val="2"/>
          </rPr>
          <t>Copyright</t>
        </r>
        <r>
          <rPr>
            <sz val="8"/>
            <rFont val="Tahoma"/>
            <family val="0"/>
          </rPr>
          <t xml:space="preserve">
We allow the user of this EXCEL work book copying, using, developing, changing or extracting from the files. We do not give up the formal copyright if we own it, but we promise this will not cause trouble for any reasonable and foreseeable use. You are welcome to deal with the information as it was free-wear. 
</t>
        </r>
        <r>
          <rPr>
            <b/>
            <sz val="8"/>
            <color indexed="17"/>
            <rFont val="Tahoma"/>
            <family val="2"/>
          </rPr>
          <t>Mistakes</t>
        </r>
        <r>
          <rPr>
            <sz val="8"/>
            <rFont val="Tahoma"/>
            <family val="0"/>
          </rPr>
          <t xml:space="preserve">
We often make mistakes, thus some formulas or interpretations may be erroneous. Please focus my attention if you suspect this may be the case in a special situation! Some mistakes we detect ourself. Thus, mistakes are more likely in a recently introduced feature, than in one which has existed for a long time. Thus, be more conservative against innovations and check sometimes if there are new versions.
</t>
        </r>
        <r>
          <rPr>
            <b/>
            <sz val="8"/>
            <color indexed="17"/>
            <rFont val="Tahoma"/>
            <family val="2"/>
          </rPr>
          <t>Disclaimer</t>
        </r>
        <r>
          <rPr>
            <sz val="8"/>
            <rFont val="Tahoma"/>
            <family val="0"/>
          </rPr>
          <t xml:space="preserve">
I do not accept any formal or legal responsibility for anything, which may happen if you use this workbook or let the suggested values or information lead your decisions. My sincere guess is, however, that such use will not cause the end of your world.
</t>
        </r>
        <r>
          <rPr>
            <b/>
            <sz val="8"/>
            <color indexed="17"/>
            <rFont val="Tahoma"/>
            <family val="2"/>
          </rPr>
          <t>Genetic particulars</t>
        </r>
        <r>
          <rPr>
            <sz val="8"/>
            <rFont val="Tahoma"/>
            <family val="0"/>
          </rPr>
          <t xml:space="preserve">
Usually only a single character on a single site is considered. This "character" can, however, be an index considering several characters, sites and tests, so this is not as severe constraint, as it may appear at first sight.
</t>
        </r>
        <r>
          <rPr>
            <b/>
            <sz val="8"/>
            <color indexed="17"/>
            <rFont val="Tahoma"/>
            <family val="2"/>
          </rPr>
          <t>Difficulties??</t>
        </r>
        <r>
          <rPr>
            <sz val="8"/>
            <rFont val="Tahoma"/>
            <family val="0"/>
          </rPr>
          <t xml:space="preserve">
If you find it difficult and time-consuming to use our programmes, that certainly is a feeling you share with many others. I appreciate feed back, preferable by E-mail. I may try to help you. If there is something particular you do not understand, I will probably remain unaware of the difficulty or mistake, if someone do not tell me. It is much too easy to be misleading or to make mistakes! To improve transparency, user contacts are extremely valuable. It would be nice to know to what extent people outside my known collaborators find this development of genetic worksheets a valuable service.
Most of our EXCEL sheets use macros, thus do not unable macros!
  Your machine may not be compatible with the modern EXCEL versions or does not work with my files for some other reason. Do not give up understanding too soon! Did you look at all explaining text? Maybe you are in the wrong sheet in the workbook? Clicking at the bottom menu changes sheets! Or you may not have looked at the right place of the sheet; you may be able to see only a part of the sheet, in particular if you have a small screen or a high magnification setting (you can change the magnification yourself). You may miss something important, if you do not search over the whole sheet. There may be more information elsewhere, so try some trial and error before quitting!
  If you change cells meant for output, that harms the function of the workbook. Usually nothing prevents you from inserting "impossible" entries. A common reason for odd, not interpretable or no results is that an unreasonable value has been entered. You can insert big values or get output with many digits, resulting in confusing symbols on the screen in spite of that everything actually works and you can see the results if you widen the columns. Language settings may cause problems; e.g. EXCEL in Swedish setting does not recognise decimal points (program developers often do not comprehend all type of problems encountered by different flavours of the majority of the world which is not English).
  One useful question when you get a result, which does not appeal to you, is if you have addressed the right question. A common mistake is to get the right answer on the wrong question. Also you may sometimes distrust your intuition. Sometimes I have found that results I regarded as contra-intuitive were right, and when I learned something.
</t>
        </r>
        <r>
          <rPr>
            <b/>
            <sz val="8"/>
            <color indexed="17"/>
            <rFont val="Tahoma"/>
            <family val="2"/>
          </rPr>
          <t>Why EXCEL?</t>
        </r>
        <r>
          <rPr>
            <sz val="8"/>
            <rFont val="Tahoma"/>
            <family val="0"/>
          </rPr>
          <t xml:space="preserve">
EXCEL is available on many computers all over the world and most forest tree breeders and forest geneticists are able to use it, so I guessed the best way to create generally available tools was to use EXCEL. 
The EXCEL (.XLS) files were mostly developed as workbooks for Windows. The sheets often also contains insertions, e.g. from MS Word or MS Equation, these are not essential for the function, but may be relevant for the understanding. A Mac may add to these transcription problems (we use MS). In mid November 97 we started using EXCEL in 97 years version. New programs and updated versions of the old are made in 97 version of EXCEL, but old versions are sometimes kept on the site for some time.
I guess the EXCEL work books can be helpful if you adapt them to own problems, even in the case you can not use the worksheets as they are organised. If you understand how the worksheets work, you may extend or fine-tune them to your own problem; they may serve as useful templates for further development. They are also intended to serve a pedagogical purpose; they offer a way to understand concepts I feel important. They may even serve as collections of relevant formulas.
</t>
        </r>
      </text>
    </comment>
    <comment ref="N2" authorId="0">
      <text>
        <r>
          <rPr>
            <b/>
            <sz val="10"/>
            <color indexed="17"/>
            <rFont val="Tahoma"/>
            <family val="2"/>
          </rPr>
          <t>Acknoledgements</t>
        </r>
        <r>
          <rPr>
            <sz val="8"/>
            <rFont val="Tahoma"/>
            <family val="0"/>
          </rPr>
          <t xml:space="preserve">
Helpful comments in constructing this spreadsheet have been obtained from...Milan Lstiburek, Tim Mullin and Kyu Suk Kang.</t>
        </r>
      </text>
    </comment>
    <comment ref="O2" authorId="0">
      <text>
        <r>
          <rPr>
            <b/>
            <sz val="10"/>
            <rFont val="Tahoma"/>
            <family val="2"/>
          </rPr>
          <t xml:space="preserve">Suggestions to improve or expand
</t>
        </r>
        <r>
          <rPr>
            <sz val="8"/>
            <rFont val="Tahoma"/>
            <family val="2"/>
          </rPr>
          <t xml:space="preserve">
Assuming equal production from each ramet, what would be the 
comparison between an orchard with equal numbers of ramets per clone and 
our optimal orchard?  
Can we optimize differently if we consider only a 
portion of the orchard production will be deployed? 
</t>
        </r>
      </text>
    </comment>
    <comment ref="B3" authorId="0">
      <text>
        <r>
          <rPr>
            <sz val="8"/>
            <rFont val="Tahoma"/>
            <family val="0"/>
          </rPr>
          <t xml:space="preserve">The </t>
        </r>
        <r>
          <rPr>
            <b/>
            <sz val="8"/>
            <color indexed="10"/>
            <rFont val="Tahoma"/>
            <family val="2"/>
          </rPr>
          <t>red figures with yellow background</t>
        </r>
        <r>
          <rPr>
            <sz val="8"/>
            <color indexed="10"/>
            <rFont val="Tahoma"/>
            <family val="2"/>
          </rPr>
          <t xml:space="preserve"> </t>
        </r>
        <r>
          <rPr>
            <sz val="8"/>
            <rFont val="Tahoma"/>
            <family val="0"/>
          </rPr>
          <t>are meant to be chosen by the user. The program is controlled by the choice of the red values</t>
        </r>
      </text>
    </comment>
    <comment ref="C3" authorId="0">
      <text>
        <r>
          <rPr>
            <sz val="8"/>
            <rFont val="Tahoma"/>
            <family val="0"/>
          </rPr>
          <t xml:space="preserve">The </t>
        </r>
        <r>
          <rPr>
            <b/>
            <i/>
            <sz val="8"/>
            <color indexed="10"/>
            <rFont val="Tahoma"/>
            <family val="2"/>
          </rPr>
          <t>red figures in italics</t>
        </r>
        <r>
          <rPr>
            <sz val="8"/>
            <rFont val="Tahoma"/>
            <family val="0"/>
          </rPr>
          <t xml:space="preserve"> are meant to pasted over as arrays.</t>
        </r>
      </text>
    </comment>
    <comment ref="D3" authorId="0">
      <text>
        <r>
          <rPr>
            <b/>
            <sz val="8"/>
            <color indexed="12"/>
            <rFont val="Tahoma"/>
            <family val="2"/>
          </rPr>
          <t>Bold values in blue with yellow background</t>
        </r>
        <r>
          <rPr>
            <sz val="8"/>
            <rFont val="Tahoma"/>
            <family val="0"/>
          </rPr>
          <t xml:space="preserve"> are the main resul</t>
        </r>
        <r>
          <rPr>
            <sz val="8"/>
            <rFont val="Tahoma"/>
            <family val="2"/>
          </rPr>
          <t xml:space="preserve">t. </t>
        </r>
        <r>
          <rPr>
            <b/>
            <sz val="8"/>
            <rFont val="Tahoma"/>
            <family val="2"/>
          </rPr>
          <t>Do not change blue values, because then the workbook will not work!</t>
        </r>
      </text>
    </comment>
    <comment ref="E3" authorId="0">
      <text>
        <r>
          <rPr>
            <sz val="8"/>
            <color indexed="12"/>
            <rFont val="Tahoma"/>
            <family val="2"/>
          </rPr>
          <t>Unbolded values in blue</t>
        </r>
        <r>
          <rPr>
            <sz val="8"/>
            <rFont val="Tahoma"/>
            <family val="0"/>
          </rPr>
          <t xml:space="preserve"> are considered minor or intermediary results. </t>
        </r>
        <r>
          <rPr>
            <sz val="8"/>
            <rFont val="Tahoma"/>
            <family val="2"/>
          </rPr>
          <t>Do not change blue values, because then the workbook will not work!</t>
        </r>
      </text>
    </comment>
    <comment ref="F3" authorId="0">
      <text>
        <r>
          <rPr>
            <sz val="8"/>
            <color indexed="23"/>
            <rFont val="Tahoma"/>
            <family val="2"/>
          </rPr>
          <t>Gray cells are used by and should not be overwritten, but the information is made difficult to see as it is seen as unnessary for the normal user.</t>
        </r>
      </text>
    </comment>
    <comment ref="G3" authorId="0">
      <text>
        <r>
          <rPr>
            <sz val="8"/>
            <rFont val="Tahoma"/>
            <family val="0"/>
          </rPr>
          <t>Reference cell for further development of this simulator (cell need to be moved later or content need to be changed).</t>
        </r>
      </text>
    </comment>
    <comment ref="U2" authorId="0">
      <text>
        <r>
          <rPr>
            <b/>
            <sz val="10"/>
            <color indexed="14"/>
            <rFont val="Tahoma"/>
            <family val="2"/>
          </rPr>
          <t>Use of "Solver" tool in Excel for optimisation</t>
        </r>
        <r>
          <rPr>
            <sz val="8"/>
            <rFont val="Tahoma"/>
            <family val="2"/>
          </rPr>
          <t xml:space="preserve">
Making optimisation "by hand" is time-consuming and often practically impossible. However, the tool “Solver” can be used.  It may be found in “Tools” menu in Excel. If it is not found there, it can be activated by “Add-Ins” in “Tools” menu. If Solver is not listed in the “Add-Ins” dialog box, it is necessary to click on “Browse” and locate the drive, folder, and file name for the “Solver.xla” or run the Setup program. Detailed description about the use of Solver is given in its “Help” menu.  Solver iterates the values of specified cells that optimises the value in a target cell. In that way a strategy can be optimised.
Solver can determine how to get the maximum or minimum value of one target cell, which can be obtained by changing other cells. It is possible to define restrictions. Solver will find the values of all adjustable cells, which e.g. maximises the target value under given restrictions. To get a better understanding of this technique you may look at EXCEL Help, or try examples, which exist in Dag Lindgren's website.
In Solver one can use  "</t>
        </r>
        <r>
          <rPr>
            <sz val="8"/>
            <color indexed="10"/>
            <rFont val="Tahoma"/>
            <family val="2"/>
          </rPr>
          <t>Options</t>
        </r>
        <r>
          <rPr>
            <sz val="8"/>
            <rFont val="Tahoma"/>
            <family val="2"/>
          </rPr>
          <t>". Solver does not always work well, and it can help to adjust options.</t>
        </r>
        <r>
          <rPr>
            <sz val="8"/>
            <color indexed="10"/>
            <rFont val="Tahoma"/>
            <family val="2"/>
          </rPr>
          <t xml:space="preserve"> Help</t>
        </r>
        <r>
          <rPr>
            <sz val="8"/>
            <rFont val="Tahoma"/>
            <family val="2"/>
          </rPr>
          <t xml:space="preserve"> in options helps to give ideas of adjustments!
You can try to place following values into </t>
        </r>
        <r>
          <rPr>
            <sz val="8"/>
            <color indexed="10"/>
            <rFont val="Tahoma"/>
            <family val="2"/>
          </rPr>
          <t>Precision</t>
        </r>
        <r>
          <rPr>
            <sz val="8"/>
            <rFont val="Tahoma"/>
            <family val="2"/>
          </rPr>
          <t xml:space="preserve">: 0.00000001; </t>
        </r>
        <r>
          <rPr>
            <sz val="8"/>
            <color indexed="10"/>
            <rFont val="Tahoma"/>
            <family val="2"/>
          </rPr>
          <t>Tolerance</t>
        </r>
        <r>
          <rPr>
            <sz val="8"/>
            <rFont val="Tahoma"/>
            <family val="2"/>
          </rPr>
          <t xml:space="preserve">: 0.002; </t>
        </r>
        <r>
          <rPr>
            <sz val="8"/>
            <color indexed="10"/>
            <rFont val="Tahoma"/>
            <family val="2"/>
          </rPr>
          <t>Convergence</t>
        </r>
        <r>
          <rPr>
            <sz val="8"/>
            <rFont val="Tahoma"/>
            <family val="2"/>
          </rPr>
          <t xml:space="preserve">: 0.0001, but I am uncertain how to handle this, and it may not correpond to the need of other situations. The speed of solver can be improved by changing some settings, but this is seldom needed as it anyway works fast enough.  
A situation when there is reason to be suspective to the solver solutions is when it can not improve suggested initital solutions. When consider turn to </t>
        </r>
        <r>
          <rPr>
            <sz val="8"/>
            <color indexed="10"/>
            <rFont val="Tahoma"/>
            <family val="2"/>
          </rPr>
          <t>automatic scaling</t>
        </r>
        <r>
          <rPr>
            <sz val="8"/>
            <rFont val="Tahoma"/>
            <family val="2"/>
          </rPr>
          <t xml:space="preserve"> or </t>
        </r>
        <r>
          <rPr>
            <sz val="8"/>
            <color indexed="10"/>
            <rFont val="Tahoma"/>
            <family val="2"/>
          </rPr>
          <t>central derivatives</t>
        </r>
        <r>
          <rPr>
            <sz val="8"/>
            <rFont val="Tahoma"/>
            <family val="2"/>
          </rPr>
          <t xml:space="preserve">.
Do not assume </t>
        </r>
        <r>
          <rPr>
            <sz val="8"/>
            <color indexed="10"/>
            <rFont val="Tahoma"/>
            <family val="2"/>
          </rPr>
          <t>linear mode</t>
        </r>
        <r>
          <rPr>
            <sz val="8"/>
            <rFont val="Tahoma"/>
            <family val="2"/>
          </rPr>
          <t xml:space="preserve">l if you do not know it is linear (gene diversity is not linear).
Use </t>
        </r>
        <r>
          <rPr>
            <sz val="8"/>
            <color indexed="10"/>
            <rFont val="Tahoma"/>
            <family val="2"/>
          </rPr>
          <t>automatic scaling</t>
        </r>
        <r>
          <rPr>
            <sz val="8"/>
            <rFont val="Tahoma"/>
            <family val="2"/>
          </rPr>
          <t xml:space="preserve"> if input and output values differ in magnitudes!
</t>
        </r>
        <r>
          <rPr>
            <sz val="8"/>
            <color indexed="10"/>
            <rFont val="Tahoma"/>
            <family val="2"/>
          </rPr>
          <t>Quadratic extrapolatin</t>
        </r>
        <r>
          <rPr>
            <sz val="8"/>
            <rFont val="Tahoma"/>
            <family val="2"/>
          </rPr>
          <t xml:space="preserve"> could be used if troubles occur!
Use </t>
        </r>
        <r>
          <rPr>
            <sz val="8"/>
            <color indexed="10"/>
            <rFont val="Tahoma"/>
            <family val="2"/>
          </rPr>
          <t>Conjugate search</t>
        </r>
        <r>
          <rPr>
            <sz val="8"/>
            <rFont val="Tahoma"/>
            <family val="2"/>
          </rPr>
          <t xml:space="preserve"> if you run into trouble and have more than 50 variables.
Try using </t>
        </r>
        <r>
          <rPr>
            <sz val="8"/>
            <color indexed="10"/>
            <rFont val="Tahoma"/>
            <family val="2"/>
          </rPr>
          <t>central derivatives</t>
        </r>
        <r>
          <rPr>
            <sz val="8"/>
            <rFont val="Tahoma"/>
            <family val="2"/>
          </rPr>
          <t xml:space="preserve"> if solver runs into problems or returns a message that it cannot improve the solution.
If solver give  message of lacking running time, increasing </t>
        </r>
        <r>
          <rPr>
            <sz val="8"/>
            <color indexed="10"/>
            <rFont val="Tahoma"/>
            <family val="2"/>
          </rPr>
          <t>Max time</t>
        </r>
        <r>
          <rPr>
            <sz val="8"/>
            <rFont val="Tahoma"/>
            <family val="2"/>
          </rPr>
          <t xml:space="preserve"> can be a response, but there are other ways to make it to run faster (on the cost of precision).
Solver solutions can be saved and some suggestions are (probably) fond in this worksheet, which can be loaded.
Last major edit  DL 030120
</t>
        </r>
      </text>
    </comment>
    <comment ref="E7" authorId="1">
      <text>
        <r>
          <rPr>
            <b/>
            <sz val="10"/>
            <color indexed="50"/>
            <rFont val="Tahoma"/>
            <family val="2"/>
          </rPr>
          <t>Breeding values</t>
        </r>
        <r>
          <rPr>
            <sz val="8"/>
            <rFont val="Tahoma"/>
            <family val="0"/>
          </rPr>
          <t xml:space="preserve">
The values in this column are the breeding values!
They need not be ranked for any other application than selective harvesting. Other values can be inserted and the output values will respond correctly.
The default values are for an American Pinus taeda seed orchard obtained 03-01-23 and ranked for breeding values They are expressed as % superiority in value for forestry compared to a unimproved reference.
</t>
        </r>
      </text>
    </comment>
    <comment ref="B7" authorId="1">
      <text>
        <r>
          <rPr>
            <b/>
            <sz val="10"/>
            <color indexed="49"/>
            <rFont val="Tahoma"/>
            <family val="2"/>
          </rPr>
          <t xml:space="preserve">Identities of shortlisted clones
</t>
        </r>
      </text>
    </comment>
    <comment ref="E34" authorId="1">
      <text>
        <r>
          <rPr>
            <b/>
            <sz val="10"/>
            <color indexed="50"/>
            <rFont val="Tahoma"/>
            <family val="2"/>
          </rPr>
          <t>Cross-coancestry</t>
        </r>
        <r>
          <rPr>
            <sz val="8"/>
            <rFont val="Tahoma"/>
            <family val="0"/>
          </rPr>
          <t xml:space="preserve">
Cross-coancestry is likely to give rise to inbreeding, in the first approximation the coefficient of inbreeding in the seed orchard crop will be the same as group coancestry.</t>
        </r>
      </text>
    </comment>
    <comment ref="E35" authorId="1">
      <text>
        <r>
          <rPr>
            <b/>
            <sz val="10"/>
            <color indexed="50"/>
            <rFont val="Tahoma"/>
            <family val="2"/>
          </rPr>
          <t>Self-coancestry</t>
        </r>
        <r>
          <rPr>
            <b/>
            <sz val="8"/>
            <rFont val="Tahoma"/>
            <family val="0"/>
          </rPr>
          <t xml:space="preserve">
</t>
        </r>
        <r>
          <rPr>
            <sz val="8"/>
            <rFont val="Tahoma"/>
            <family val="2"/>
          </rPr>
          <t>Self coancestry may give raise to selfing, but as selfing is unimportant in P taeda, this is neglected. Half the inverted contribution to selfcoancestry is  the effective number of clones!</t>
        </r>
      </text>
    </comment>
    <comment ref="E5" authorId="1">
      <text>
        <r>
          <rPr>
            <b/>
            <sz val="8"/>
            <color indexed="50"/>
            <rFont val="Tahoma"/>
            <family val="2"/>
          </rPr>
          <t>Inbreeding depression factor</t>
        </r>
        <r>
          <rPr>
            <sz val="8"/>
            <rFont val="Tahoma"/>
            <family val="0"/>
          </rPr>
          <t xml:space="preserve">
This factor scales the effects of cross-coanscestry to "forestry value", thus makes it equivalent to breeding value. Standard assumption is that it is one. For Pinus taeda it has been found to be slightly lower in experiments. It is likely there is inbreeding depression in embryo survival so the yield of inbred seeds will be slightly lower than crossbred. Furtheron pollen contamination has not been considered, it is likely to reduce the inbreeding. It is a scale factor, the inbreeding hits the value, and that is higher than 100%, something like the average gain 145 (%). If I really thought the breeding values were predictions of gain over future forestry I would use a lower value, but as I mistrust this.  I suggest 130 for taeda as initially inserted. Perhaps I should reduce it further. The factor is not at all critical for the results with linear deployment.</t>
        </r>
      </text>
    </comment>
    <comment ref="J7" authorId="1">
      <text>
        <r>
          <rPr>
            <b/>
            <sz val="10"/>
            <color indexed="57"/>
            <rFont val="Tahoma"/>
            <family val="2"/>
          </rPr>
          <t>Solver solution!</t>
        </r>
        <r>
          <rPr>
            <sz val="8"/>
            <rFont val="Tahoma"/>
            <family val="0"/>
          </rPr>
          <t xml:space="preserve">
This cell is a place for an identifier of the solution. 
The cells below corresponding to clonal values are places where you can write Solver solutions. After making the Solver solution, you can glue it to some specially made table. The advantage of having it here is that the premade SOLVER solutions will work.</t>
        </r>
      </text>
    </comment>
    <comment ref="J3" authorId="1">
      <text>
        <r>
          <rPr>
            <b/>
            <sz val="10"/>
            <color indexed="57"/>
            <rFont val="Tahoma"/>
            <family val="2"/>
          </rPr>
          <t xml:space="preserve">Relatedness among candidates!
</t>
        </r>
        <r>
          <rPr>
            <sz val="8"/>
            <rFont val="Tahoma"/>
            <family val="2"/>
          </rPr>
          <t>Belongs to a family group indicated by the colour of the background.</t>
        </r>
      </text>
    </comment>
    <comment ref="H3" authorId="1">
      <text>
        <r>
          <rPr>
            <b/>
            <sz val="10"/>
            <color indexed="57"/>
            <rFont val="Tahoma"/>
            <family val="2"/>
          </rPr>
          <t xml:space="preserve">Relatedness among candidates!
</t>
        </r>
        <r>
          <rPr>
            <sz val="8"/>
            <rFont val="Tahoma"/>
            <family val="2"/>
          </rPr>
          <t>Belongs to a family group indicated by the colour of the background.</t>
        </r>
      </text>
    </comment>
    <comment ref="I7" authorId="1">
      <text>
        <r>
          <rPr>
            <sz val="8"/>
            <rFont val="Tahoma"/>
            <family val="0"/>
          </rPr>
          <t>This is the sum of all unadjusted values</t>
        </r>
      </text>
    </comment>
    <comment ref="H7" authorId="0">
      <text>
        <r>
          <rPr>
            <b/>
            <sz val="10"/>
            <color indexed="49"/>
            <rFont val="Tahoma"/>
            <family val="2"/>
          </rPr>
          <t>Linear deployment</t>
        </r>
        <r>
          <rPr>
            <sz val="8"/>
            <rFont val="Tahoma"/>
            <family val="0"/>
          </rPr>
          <t xml:space="preserve">
A linear deployment can be characterised by a single value which can be inserted in this cell. Mathematically it could be interpreted as the intercept
Insert the lowest genetic value which can  be represented (g0).</t>
        </r>
      </text>
    </comment>
    <comment ref="B16" authorId="1">
      <text>
        <r>
          <rPr>
            <sz val="8"/>
            <rFont val="Tahoma"/>
            <family val="0"/>
          </rPr>
          <t>Note, related to other candidates!</t>
        </r>
      </text>
    </comment>
    <comment ref="J1" authorId="1">
      <text>
        <r>
          <rPr>
            <b/>
            <sz val="8"/>
            <color indexed="17"/>
            <rFont val="Tahoma"/>
            <family val="2"/>
          </rPr>
          <t>Disclaimer</t>
        </r>
        <r>
          <rPr>
            <sz val="8"/>
            <rFont val="Tahoma"/>
            <family val="0"/>
          </rPr>
          <t xml:space="preserve">
There are a lot of possibilities for mistakes. It could be wrong thought, programming errors, mistakes when moving information and updating. Some text or feateures, which should not be here could have survived or escaped updating.
In particular, it is difficult to change the number of entries or relatedness patterns. Many errors may occur. be warned!
Unhide hidden parts if new data are inserted or you want to dive deeper into the spreadsheet!</t>
        </r>
      </text>
    </comment>
    <comment ref="F5" authorId="1">
      <text>
        <r>
          <rPr>
            <b/>
            <sz val="8"/>
            <color indexed="57"/>
            <rFont val="Tahoma"/>
            <family val="2"/>
          </rPr>
          <t>Truncation selection</t>
        </r>
        <r>
          <rPr>
            <sz val="8"/>
            <rFont val="Tahoma"/>
            <family val="0"/>
          </rPr>
          <t xml:space="preserve">
In this column truncation selection proportions are found (thus equal proportions above a certain value). Enter a breeding value as truncation point, and the column values will respond by suggesting proportions corresponding to the clone number in the cell below deployed in equal proportions.</t>
        </r>
      </text>
    </comment>
    <comment ref="F6" authorId="1">
      <text>
        <r>
          <rPr>
            <b/>
            <sz val="10"/>
            <color indexed="57"/>
            <rFont val="Tahoma"/>
            <family val="2"/>
          </rPr>
          <t>Truncation point</t>
        </r>
        <r>
          <rPr>
            <sz val="8"/>
            <rFont val="Tahoma"/>
            <family val="0"/>
          </rPr>
          <t xml:space="preserve">
Insert a truncation limit here! Default value is low to make all clones selected!</t>
        </r>
      </text>
    </comment>
    <comment ref="F7" authorId="1">
      <text>
        <r>
          <rPr>
            <b/>
            <sz val="8"/>
            <color indexed="57"/>
            <rFont val="Tahoma"/>
            <family val="2"/>
          </rPr>
          <t>Clone number</t>
        </r>
        <r>
          <rPr>
            <sz val="8"/>
            <rFont val="Tahoma"/>
            <family val="0"/>
          </rPr>
          <t xml:space="preserve">
The number of clones above the truncation limit above  selected with equal proportions </t>
        </r>
      </text>
    </comment>
    <comment ref="J6" authorId="1">
      <text>
        <r>
          <rPr>
            <b/>
            <sz val="10"/>
            <color indexed="57"/>
            <rFont val="Tahoma"/>
            <family val="2"/>
          </rPr>
          <t>Solver solutions</t>
        </r>
        <r>
          <rPr>
            <sz val="8"/>
            <rFont val="Tahoma"/>
            <family val="0"/>
          </rPr>
          <t xml:space="preserve">
Solver is an optimising tool in EXCEL, see more above! 
The column below could be used for Solver solutions. After the solution has been found it could  be pasted another column. The predefined solver is set to this column!
The actual conditions for solver may vary! Look more for information about solver solver in the comments to other cells.
You may insert anything in this cell to identify the values in the column and when paste this cell together with the following over to an area for analysis.</t>
        </r>
      </text>
    </comment>
    <comment ref="H5" authorId="1">
      <text>
        <r>
          <rPr>
            <b/>
            <sz val="10"/>
            <color indexed="50"/>
            <rFont val="Tahoma"/>
            <family val="2"/>
          </rPr>
          <t>Linear deployment</t>
        </r>
        <r>
          <rPr>
            <sz val="8"/>
            <rFont val="Tahoma"/>
            <family val="0"/>
          </rPr>
          <t xml:space="preserve">
Is a mathematical tool for optimising seed orchards by relateting the clonal contributions linearly to the breeding value. The line is controlled by the intercept inserted in the cell below. A desirable intercept has to be found by trial and error.
More information about linear deployment can be found in an EXCEL file at the TBT web!</t>
        </r>
      </text>
    </comment>
    <comment ref="H2" authorId="1">
      <text>
        <r>
          <rPr>
            <b/>
            <sz val="10"/>
            <rFont val="Tahoma"/>
            <family val="2"/>
          </rPr>
          <t>Family coancestry matrix</t>
        </r>
        <r>
          <rPr>
            <sz val="8"/>
            <rFont val="Tahoma"/>
            <family val="0"/>
          </rPr>
          <t xml:space="preserve">
It may be helpful to draw mini coancestry matrixes for handling with related clones. As default one such matrix is constructed below.</t>
        </r>
      </text>
    </comment>
    <comment ref="E36" authorId="1">
      <text>
        <r>
          <rPr>
            <b/>
            <sz val="10"/>
            <color indexed="50"/>
            <rFont val="Tahoma"/>
            <family val="2"/>
          </rPr>
          <t>Effective number of clones</t>
        </r>
        <r>
          <rPr>
            <sz val="8"/>
            <rFont val="Tahoma"/>
            <family val="0"/>
          </rPr>
          <t xml:space="preserve">
Considers only a variable number of ramets, not other aspects, which status number considers. It can be seen as another way of expressing self-coancestry (in the absence of inbreeding).</t>
        </r>
      </text>
    </comment>
    <comment ref="D5" authorId="1">
      <text>
        <r>
          <rPr>
            <sz val="8"/>
            <rFont val="Tahoma"/>
            <family val="0"/>
          </rPr>
          <t>This factor gives the relation between contribution to cross-coancestry (similar to inbreeding, see below) to inbreediing depression. The factor is needed to calculate the outputs from the orchard corrected for inbreeding. The figure is unessential for the linear deployment, but may matter for future optimisations.</t>
        </r>
      </text>
    </comment>
    <comment ref="E32" authorId="1">
      <text>
        <r>
          <rPr>
            <b/>
            <sz val="10"/>
            <color indexed="50"/>
            <rFont val="Tahoma"/>
            <family val="2"/>
          </rPr>
          <t>Adjustment for inbreeding</t>
        </r>
        <r>
          <rPr>
            <sz val="8"/>
            <rFont val="Tahoma"/>
            <family val="0"/>
          </rPr>
          <t xml:space="preserve">
The breeding value, thus the "genetic value" of the orchard adjusted for the inbreeding depression.</t>
        </r>
      </text>
    </comment>
    <comment ref="O5" authorId="1">
      <text>
        <r>
          <rPr>
            <b/>
            <sz val="10"/>
            <color indexed="50"/>
            <rFont val="Tahoma"/>
            <family val="2"/>
          </rPr>
          <t>Selective harvest</t>
        </r>
        <r>
          <rPr>
            <sz val="8"/>
            <rFont val="Tahoma"/>
            <family val="0"/>
          </rPr>
          <t xml:space="preserve">
Once most orchards are in full production, one doesn't need to harvect 
from ALL clones, as there is usually a safety buffer.  One would normally 
start with the best family and continue picking down the list until 
sufficient seeds are harvested for the planting program.  Let's say that seed 
requirement can be met by 50%, 67% or 75% of the total orchard 
production.  That entity is an entry in the </t>
        </r>
        <r>
          <rPr>
            <b/>
            <sz val="10"/>
            <color indexed="14"/>
            <rFont val="Tahoma"/>
            <family val="2"/>
          </rPr>
          <t>Selective harvest</t>
        </r>
        <r>
          <rPr>
            <sz val="8"/>
            <rFont val="Tahoma"/>
            <family val="0"/>
          </rPr>
          <t xml:space="preserve"> part of the worksheet!
Note: for this procedure to work satisfactory, the breeding values have to appear in </t>
        </r>
        <r>
          <rPr>
            <b/>
            <sz val="8"/>
            <rFont val="Tahoma"/>
            <family val="2"/>
          </rPr>
          <t>rank order</t>
        </r>
        <r>
          <rPr>
            <sz val="8"/>
            <rFont val="Tahoma"/>
            <family val="0"/>
          </rPr>
          <t xml:space="preserve">!
Instructions for use:
* Paste the suggested proportions (in rank order). That is in the same time the pollen parents
* Choose a needed fraction of cones
* Read the column with the characteristic values
</t>
        </r>
      </text>
    </comment>
    <comment ref="B8" authorId="1">
      <text>
        <r>
          <rPr>
            <sz val="10"/>
            <color indexed="49"/>
            <rFont val="Tahoma"/>
            <family val="2"/>
          </rPr>
          <t>Default values</t>
        </r>
        <r>
          <rPr>
            <sz val="8"/>
            <rFont val="Tahoma"/>
            <family val="0"/>
          </rPr>
          <t xml:space="preserve">
The initial values were obtained for an american seed orchard 03-01-23. They have been ranked for breeding values, which is not necessary except for one procedure
Note that this list is ranked for breeding values. Current ranks is not connected to former lists!</t>
        </r>
      </text>
    </comment>
    <comment ref="E38" authorId="1">
      <text>
        <r>
          <rPr>
            <b/>
            <sz val="10"/>
            <color indexed="50"/>
            <rFont val="Tahoma"/>
            <family val="2"/>
          </rPr>
          <t>Cross-coancestry</t>
        </r>
        <r>
          <rPr>
            <sz val="8"/>
            <rFont val="Tahoma"/>
            <family val="0"/>
          </rPr>
          <t xml:space="preserve">
Contribution to crosscoancestry as 7-056 and one offspring in orchard. Twice times 0.25 times the products of the relatives occurance</t>
        </r>
      </text>
    </comment>
    <comment ref="E39" authorId="1">
      <text>
        <r>
          <rPr>
            <b/>
            <sz val="10"/>
            <color indexed="50"/>
            <rFont val="Tahoma"/>
            <family val="2"/>
          </rPr>
          <t>Cross-coanstry</t>
        </r>
        <r>
          <rPr>
            <sz val="8"/>
            <rFont val="Tahoma"/>
            <family val="0"/>
          </rPr>
          <t xml:space="preserve">
Contribution to crosscoancestry as  three clones share 11010 as parent. See scheme below!</t>
        </r>
      </text>
    </comment>
    <comment ref="E33" authorId="1">
      <text>
        <r>
          <rPr>
            <b/>
            <sz val="10"/>
            <color indexed="50"/>
            <rFont val="Tahoma"/>
            <family val="2"/>
          </rPr>
          <t>Status number</t>
        </r>
        <r>
          <rPr>
            <b/>
            <sz val="8"/>
            <rFont val="Tahoma"/>
            <family val="0"/>
          </rPr>
          <t xml:space="preserve">
</t>
        </r>
        <r>
          <rPr>
            <sz val="8"/>
            <rFont val="Tahoma"/>
            <family val="2"/>
          </rPr>
          <t xml:space="preserve">Status number of the ramets in the seed orchard
</t>
        </r>
      </text>
    </comment>
    <comment ref="E31" authorId="1">
      <text>
        <r>
          <rPr>
            <b/>
            <sz val="10"/>
            <color indexed="50"/>
            <rFont val="Tahoma"/>
            <family val="2"/>
          </rPr>
          <t>Breeding Value</t>
        </r>
        <r>
          <rPr>
            <sz val="8"/>
            <rFont val="Tahoma"/>
            <family val="0"/>
          </rPr>
          <t xml:space="preserve">
A weighted average of the breeding values of the clones</t>
        </r>
      </text>
    </comment>
    <comment ref="O6" authorId="1">
      <text>
        <r>
          <rPr>
            <b/>
            <sz val="10"/>
            <color indexed="50"/>
            <rFont val="Tahoma"/>
            <family val="2"/>
          </rPr>
          <t>Harvested fraction</t>
        </r>
        <r>
          <rPr>
            <sz val="8"/>
            <rFont val="Tahoma"/>
            <family val="0"/>
          </rPr>
          <t xml:space="preserve">
This is the fraction of the ramets which are harvested, starting with the top ranking ones.</t>
        </r>
      </text>
    </comment>
    <comment ref="K7" authorId="1">
      <text>
        <r>
          <rPr>
            <b/>
            <sz val="10"/>
            <color indexed="17"/>
            <rFont val="Tahoma"/>
            <family val="2"/>
          </rPr>
          <t>Share as pollen parent</t>
        </r>
        <r>
          <rPr>
            <sz val="8"/>
            <rFont val="Tahoma"/>
            <family val="0"/>
          </rPr>
          <t xml:space="preserve">
For selective harvest to work, clone values have to be ranked for breeding value!
The values in this column can be said to represent the pollen pool at selective harvesting!
To facilitate identification, this cell can be used as a case identifier when valus are pasted here!</t>
        </r>
      </text>
    </comment>
    <comment ref="L7" authorId="1">
      <text>
        <r>
          <rPr>
            <sz val="8"/>
            <rFont val="Tahoma"/>
            <family val="0"/>
          </rPr>
          <t>This column is cumulative sum. This is a help-column, and you need not understand its function.</t>
        </r>
      </text>
    </comment>
    <comment ref="N37" authorId="1">
      <text>
        <r>
          <rPr>
            <sz val="8"/>
            <rFont val="Tahoma"/>
            <family val="0"/>
          </rPr>
          <t xml:space="preserve">
This is just to check that the sum of all clonal contributions is 1!</t>
        </r>
      </text>
    </comment>
    <comment ref="N7" authorId="1">
      <text>
        <r>
          <rPr>
            <b/>
            <sz val="10"/>
            <color indexed="17"/>
            <rFont val="Tahoma"/>
            <family val="2"/>
          </rPr>
          <t>Share as seed parent</t>
        </r>
        <r>
          <rPr>
            <sz val="8"/>
            <rFont val="Tahoma"/>
            <family val="0"/>
          </rPr>
          <t xml:space="preserve">
This is the proportions at selective cone harvest of the contributions from different clones.
You could see it as the gene pool of the seed parents contributions to the seeds. </t>
        </r>
      </text>
    </comment>
    <comment ref="M7" authorId="1">
      <text>
        <r>
          <rPr>
            <sz val="8"/>
            <rFont val="Tahoma"/>
            <family val="0"/>
          </rPr>
          <t>This column gives the initial proportion if all cones are harvested. A negative value may appear if no cones are harvested; and the remaining initial proportion for the clone which will not be fully harvested.
This is a help-column, and you need not understand its function.</t>
        </r>
      </text>
    </comment>
    <comment ref="O7" authorId="1">
      <text>
        <r>
          <rPr>
            <b/>
            <sz val="10"/>
            <color indexed="57"/>
            <rFont val="Tahoma"/>
            <family val="2"/>
          </rPr>
          <t>Clone contribution after Selective harvest</t>
        </r>
        <r>
          <rPr>
            <sz val="8"/>
            <rFont val="Tahoma"/>
            <family val="0"/>
          </rPr>
          <t xml:space="preserve">
This column gives the average of the contributions of clones as  seed parent and pollen parent.  Note  that no pollencontamination is assumed!</t>
        </r>
      </text>
    </comment>
    <comment ref="O37" authorId="1">
      <text>
        <r>
          <rPr>
            <sz val="8"/>
            <rFont val="Tahoma"/>
            <family val="0"/>
          </rPr>
          <t xml:space="preserve">
This is just to check that the sum of all clonal contributions is 1!</t>
        </r>
      </text>
    </comment>
    <comment ref="K31" authorId="1">
      <text>
        <r>
          <rPr>
            <b/>
            <sz val="10"/>
            <color indexed="50"/>
            <rFont val="Tahoma"/>
            <family val="2"/>
          </rPr>
          <t>Breeding Value</t>
        </r>
        <r>
          <rPr>
            <sz val="8"/>
            <rFont val="Tahoma"/>
            <family val="0"/>
          </rPr>
          <t xml:space="preserve">
A weighted average of the breeding values of the crops</t>
        </r>
      </text>
    </comment>
    <comment ref="K33" authorId="1">
      <text>
        <r>
          <rPr>
            <b/>
            <sz val="10"/>
            <color indexed="50"/>
            <rFont val="Tahoma"/>
            <family val="2"/>
          </rPr>
          <t>Status number</t>
        </r>
        <r>
          <rPr>
            <b/>
            <sz val="8"/>
            <rFont val="Tahoma"/>
            <family val="0"/>
          </rPr>
          <t xml:space="preserve">
</t>
        </r>
        <r>
          <rPr>
            <sz val="8"/>
            <rFont val="Tahoma"/>
            <family val="2"/>
          </rPr>
          <t xml:space="preserve">Status number of the ramets in the seed orchard
</t>
        </r>
      </text>
    </comment>
    <comment ref="K35" authorId="1">
      <text>
        <r>
          <rPr>
            <b/>
            <sz val="10"/>
            <color indexed="50"/>
            <rFont val="Tahoma"/>
            <family val="2"/>
          </rPr>
          <t>Self-coancestry</t>
        </r>
        <r>
          <rPr>
            <b/>
            <sz val="8"/>
            <rFont val="Tahoma"/>
            <family val="0"/>
          </rPr>
          <t xml:space="preserve">
</t>
        </r>
        <r>
          <rPr>
            <sz val="8"/>
            <rFont val="Tahoma"/>
            <family val="2"/>
          </rPr>
          <t>Self coancestry may give raise to selfing, but as selfing is unimportant in P taeda, this is neglected. Half the inverted contribution to selfcoancestry is  the effective number of clones!</t>
        </r>
      </text>
    </comment>
    <comment ref="K36" authorId="1">
      <text>
        <r>
          <rPr>
            <b/>
            <sz val="10"/>
            <color indexed="50"/>
            <rFont val="Tahoma"/>
            <family val="2"/>
          </rPr>
          <t>Effective number of clones</t>
        </r>
        <r>
          <rPr>
            <sz val="8"/>
            <rFont val="Tahoma"/>
            <family val="0"/>
          </rPr>
          <t xml:space="preserve">
Considers only a variable number of ramets, not other aspects, which status number considers. It can be seen as another way of expressing self-coancestry (in the absence of inbreeding).</t>
        </r>
      </text>
    </comment>
    <comment ref="K38" authorId="1">
      <text>
        <r>
          <rPr>
            <b/>
            <sz val="10"/>
            <color indexed="50"/>
            <rFont val="Tahoma"/>
            <family val="2"/>
          </rPr>
          <t>Cross-coancestry</t>
        </r>
        <r>
          <rPr>
            <sz val="8"/>
            <rFont val="Tahoma"/>
            <family val="0"/>
          </rPr>
          <t xml:space="preserve">
Contribution to crosscoancestry as 7-056 and one offspring in orchard. Twice times 0.25 times the products of the relatives occurance</t>
        </r>
      </text>
    </comment>
    <comment ref="K39" authorId="1">
      <text>
        <r>
          <rPr>
            <b/>
            <sz val="10"/>
            <color indexed="50"/>
            <rFont val="Tahoma"/>
            <family val="2"/>
          </rPr>
          <t>Cross-coanstry</t>
        </r>
        <r>
          <rPr>
            <sz val="8"/>
            <rFont val="Tahoma"/>
            <family val="0"/>
          </rPr>
          <t xml:space="preserve">
Contribution to crosscoancestry as  three clones share 11010 as parent. See scheme below!</t>
        </r>
      </text>
    </comment>
    <comment ref="O32" authorId="1">
      <text>
        <r>
          <rPr>
            <b/>
            <sz val="8"/>
            <rFont val="Tahoma"/>
            <family val="0"/>
          </rPr>
          <t>dagl:</t>
        </r>
        <r>
          <rPr>
            <sz val="8"/>
            <rFont val="Tahoma"/>
            <family val="0"/>
          </rPr>
          <t xml:space="preserve">
For this case cross-coancestry can not be interpreted as inbreeding, probably inbreeding is generally less for selective harvesting than for full harvest, and inbreeding is anyway marginal, so the trouble to calculated i has not been made for this case!</t>
        </r>
      </text>
    </comment>
    <comment ref="O33" authorId="1">
      <text>
        <r>
          <rPr>
            <b/>
            <sz val="8"/>
            <rFont val="Tahoma"/>
            <family val="0"/>
          </rPr>
          <t>dagl:</t>
        </r>
        <r>
          <rPr>
            <sz val="8"/>
            <rFont val="Tahoma"/>
            <family val="0"/>
          </rPr>
          <t xml:space="preserve">
The influence of cross-coancestry on the status number is expected to be correct.</t>
        </r>
      </text>
    </comment>
    <comment ref="Q6" authorId="1">
      <text>
        <r>
          <rPr>
            <sz val="8"/>
            <rFont val="Tahoma"/>
            <family val="0"/>
          </rPr>
          <t xml:space="preserve">
Here you can check what happens if you use integer ramet numbers instead. Hopefully the values do not change much, and the change can be neglected.</t>
        </r>
      </text>
    </comment>
    <comment ref="P6" authorId="1">
      <text>
        <r>
          <rPr>
            <sz val="8"/>
            <rFont val="Tahoma"/>
            <family val="0"/>
          </rPr>
          <t xml:space="preserve">
Paste suggested best decimal proportions  in this column!
The integer routine will study what happens when it is transferred to integers.</t>
        </r>
      </text>
    </comment>
    <comment ref="Q7" authorId="1">
      <text>
        <r>
          <rPr>
            <b/>
            <sz val="10"/>
            <color indexed="50"/>
            <rFont val="Tahoma"/>
            <family val="2"/>
          </rPr>
          <t>Total number</t>
        </r>
        <r>
          <rPr>
            <sz val="8"/>
            <rFont val="Tahoma"/>
            <family val="0"/>
          </rPr>
          <t xml:space="preserve">
Insert the total ramet number requested here.</t>
        </r>
      </text>
    </comment>
    <comment ref="Q31" authorId="1">
      <text>
        <r>
          <rPr>
            <sz val="8"/>
            <rFont val="Tahoma"/>
            <family val="0"/>
          </rPr>
          <t>Check here if the sum is equal to the requested number, if not change the number in the cell below!</t>
        </r>
      </text>
    </comment>
    <comment ref="Q32" authorId="1">
      <text>
        <r>
          <rPr>
            <sz val="8"/>
            <rFont val="Tahoma"/>
            <family val="0"/>
          </rPr>
          <t>This is a rule for integer truncation. Its default should be 5. Do small changes (even decimal changes allowed) to get the exact number desired.</t>
        </r>
      </text>
    </comment>
    <comment ref="E37" authorId="1">
      <text>
        <r>
          <rPr>
            <sz val="8"/>
            <rFont val="Tahoma"/>
            <family val="0"/>
          </rPr>
          <t xml:space="preserve">
This is just to check that the sum of all clonal contributions is 1!</t>
        </r>
      </text>
    </comment>
    <comment ref="F31" authorId="1">
      <text>
        <r>
          <rPr>
            <b/>
            <sz val="10"/>
            <color indexed="50"/>
            <rFont val="Tahoma"/>
            <family val="2"/>
          </rPr>
          <t>Breeding Value</t>
        </r>
        <r>
          <rPr>
            <sz val="8"/>
            <rFont val="Tahoma"/>
            <family val="0"/>
          </rPr>
          <t xml:space="preserve">
A weighted average of the breeding values of the crops</t>
        </r>
      </text>
    </comment>
    <comment ref="F32" authorId="1">
      <text>
        <r>
          <rPr>
            <b/>
            <sz val="10"/>
            <color indexed="50"/>
            <rFont val="Tahoma"/>
            <family val="2"/>
          </rPr>
          <t>Adjustment for inbreeding</t>
        </r>
        <r>
          <rPr>
            <sz val="8"/>
            <rFont val="Tahoma"/>
            <family val="0"/>
          </rPr>
          <t xml:space="preserve">
The breeding value, thus the "genetic value" of the orchard adjusted for the inbreeding depression.</t>
        </r>
      </text>
    </comment>
    <comment ref="F33" authorId="1">
      <text>
        <r>
          <rPr>
            <b/>
            <sz val="10"/>
            <color indexed="50"/>
            <rFont val="Tahoma"/>
            <family val="2"/>
          </rPr>
          <t>Status number</t>
        </r>
        <r>
          <rPr>
            <b/>
            <sz val="8"/>
            <rFont val="Tahoma"/>
            <family val="0"/>
          </rPr>
          <t xml:space="preserve">
</t>
        </r>
        <r>
          <rPr>
            <sz val="8"/>
            <rFont val="Tahoma"/>
            <family val="2"/>
          </rPr>
          <t xml:space="preserve">Status number of the ramets in the seed orchard
</t>
        </r>
      </text>
    </comment>
    <comment ref="F34" authorId="1">
      <text>
        <r>
          <rPr>
            <b/>
            <sz val="10"/>
            <color indexed="50"/>
            <rFont val="Tahoma"/>
            <family val="2"/>
          </rPr>
          <t>Cross-coancestry</t>
        </r>
        <r>
          <rPr>
            <sz val="8"/>
            <rFont val="Tahoma"/>
            <family val="0"/>
          </rPr>
          <t xml:space="preserve">
Cross-coancestry is likely to give rise to inbreeding, in the first approximation the coefficient of inbreeding in the seed orchard crop will be the same as group coancestry.</t>
        </r>
      </text>
    </comment>
    <comment ref="F35" authorId="1">
      <text>
        <r>
          <rPr>
            <b/>
            <sz val="10"/>
            <color indexed="50"/>
            <rFont val="Tahoma"/>
            <family val="2"/>
          </rPr>
          <t>Self-coancestry</t>
        </r>
        <r>
          <rPr>
            <b/>
            <sz val="8"/>
            <rFont val="Tahoma"/>
            <family val="0"/>
          </rPr>
          <t xml:space="preserve">
</t>
        </r>
        <r>
          <rPr>
            <sz val="8"/>
            <rFont val="Tahoma"/>
            <family val="2"/>
          </rPr>
          <t>Self coancestry may give raise to selfing, but as selfing is unimportant in P taeda, this is neglected. Half the inverted contribution to selfcoancestry is  the effective number of clones!</t>
        </r>
      </text>
    </comment>
    <comment ref="F36" authorId="1">
      <text>
        <r>
          <rPr>
            <b/>
            <sz val="10"/>
            <color indexed="50"/>
            <rFont val="Tahoma"/>
            <family val="2"/>
          </rPr>
          <t>Effective number of clones</t>
        </r>
        <r>
          <rPr>
            <sz val="8"/>
            <rFont val="Tahoma"/>
            <family val="0"/>
          </rPr>
          <t xml:space="preserve">
Considers only a variable number of ramets, not other aspects, which status number considers. It can be seen as another way of expressing self-coancestry (in the absence of inbreeding).</t>
        </r>
      </text>
    </comment>
    <comment ref="F37" authorId="1">
      <text>
        <r>
          <rPr>
            <sz val="8"/>
            <rFont val="Tahoma"/>
            <family val="0"/>
          </rPr>
          <t xml:space="preserve">
This is just to check that the sum of all clonal contributions is 1!</t>
        </r>
      </text>
    </comment>
    <comment ref="F38" authorId="1">
      <text>
        <r>
          <rPr>
            <b/>
            <sz val="10"/>
            <color indexed="50"/>
            <rFont val="Tahoma"/>
            <family val="2"/>
          </rPr>
          <t>Cross-coancestry</t>
        </r>
        <r>
          <rPr>
            <sz val="8"/>
            <rFont val="Tahoma"/>
            <family val="0"/>
          </rPr>
          <t xml:space="preserve">
Contribution to crosscoancestry as 7-056 and one offspring in orchard. Twice times 0.25 times the products of the relatives occurance</t>
        </r>
      </text>
    </comment>
    <comment ref="F39" authorId="1">
      <text>
        <r>
          <rPr>
            <b/>
            <sz val="10"/>
            <color indexed="50"/>
            <rFont val="Tahoma"/>
            <family val="2"/>
          </rPr>
          <t>Cross-coanstry</t>
        </r>
        <r>
          <rPr>
            <sz val="8"/>
            <rFont val="Tahoma"/>
            <family val="0"/>
          </rPr>
          <t xml:space="preserve">
Contribution to crosscoancestry as  three clones share 11010 as parent. See scheme below!</t>
        </r>
      </text>
    </comment>
    <comment ref="H31" authorId="1">
      <text>
        <r>
          <rPr>
            <b/>
            <sz val="10"/>
            <color indexed="50"/>
            <rFont val="Tahoma"/>
            <family val="2"/>
          </rPr>
          <t>Breeding Value</t>
        </r>
        <r>
          <rPr>
            <sz val="8"/>
            <rFont val="Tahoma"/>
            <family val="0"/>
          </rPr>
          <t xml:space="preserve">
A weighted average of the breeding values of the crops</t>
        </r>
      </text>
    </comment>
    <comment ref="H32" authorId="1">
      <text>
        <r>
          <rPr>
            <b/>
            <sz val="10"/>
            <color indexed="50"/>
            <rFont val="Tahoma"/>
            <family val="2"/>
          </rPr>
          <t>Adjustment for inbreeding</t>
        </r>
        <r>
          <rPr>
            <sz val="8"/>
            <rFont val="Tahoma"/>
            <family val="0"/>
          </rPr>
          <t xml:space="preserve">
The breeding value, thus the "genetic value" of the orchard adjusted for the inbreeding depression.</t>
        </r>
      </text>
    </comment>
    <comment ref="H33" authorId="1">
      <text>
        <r>
          <rPr>
            <b/>
            <sz val="10"/>
            <color indexed="50"/>
            <rFont val="Tahoma"/>
            <family val="2"/>
          </rPr>
          <t>Status number</t>
        </r>
        <r>
          <rPr>
            <b/>
            <sz val="8"/>
            <rFont val="Tahoma"/>
            <family val="0"/>
          </rPr>
          <t xml:space="preserve">
</t>
        </r>
        <r>
          <rPr>
            <sz val="8"/>
            <rFont val="Tahoma"/>
            <family val="2"/>
          </rPr>
          <t xml:space="preserve">Status number of the ramets in the seed orchard
</t>
        </r>
      </text>
    </comment>
    <comment ref="H34" authorId="1">
      <text>
        <r>
          <rPr>
            <b/>
            <sz val="10"/>
            <color indexed="50"/>
            <rFont val="Tahoma"/>
            <family val="2"/>
          </rPr>
          <t>Cross-coancestry</t>
        </r>
        <r>
          <rPr>
            <sz val="8"/>
            <rFont val="Tahoma"/>
            <family val="0"/>
          </rPr>
          <t xml:space="preserve">
Cross-coancestry is likely to give rise to inbreeding, in the first approximation the coefficient of inbreeding in the seed orchard crop will be the same as group coancestry.</t>
        </r>
      </text>
    </comment>
    <comment ref="H35" authorId="1">
      <text>
        <r>
          <rPr>
            <b/>
            <sz val="10"/>
            <color indexed="50"/>
            <rFont val="Tahoma"/>
            <family val="2"/>
          </rPr>
          <t>Self-coancestry</t>
        </r>
        <r>
          <rPr>
            <b/>
            <sz val="8"/>
            <rFont val="Tahoma"/>
            <family val="0"/>
          </rPr>
          <t xml:space="preserve">
</t>
        </r>
        <r>
          <rPr>
            <sz val="8"/>
            <rFont val="Tahoma"/>
            <family val="2"/>
          </rPr>
          <t>Self coancestry may give raise to selfing, but as selfing is unimportant in P taeda, this is neglected. Half the inverted contribution to selfcoancestry is  the effective number of clones!</t>
        </r>
      </text>
    </comment>
    <comment ref="H36" authorId="1">
      <text>
        <r>
          <rPr>
            <b/>
            <sz val="10"/>
            <color indexed="50"/>
            <rFont val="Tahoma"/>
            <family val="2"/>
          </rPr>
          <t>Effective number of clones</t>
        </r>
        <r>
          <rPr>
            <sz val="8"/>
            <rFont val="Tahoma"/>
            <family val="0"/>
          </rPr>
          <t xml:space="preserve">
Considers only a variable number of ramets, not other aspects, which status number considers. It can be seen as another way of expressing self-coancestry (in the absence of inbreeding).</t>
        </r>
      </text>
    </comment>
    <comment ref="H37" authorId="1">
      <text>
        <r>
          <rPr>
            <sz val="8"/>
            <rFont val="Tahoma"/>
            <family val="0"/>
          </rPr>
          <t xml:space="preserve">
This is just to check that the sum of all clonal contributions is 1!</t>
        </r>
      </text>
    </comment>
    <comment ref="H38" authorId="1">
      <text>
        <r>
          <rPr>
            <b/>
            <sz val="10"/>
            <color indexed="50"/>
            <rFont val="Tahoma"/>
            <family val="2"/>
          </rPr>
          <t>Cross-coancestry</t>
        </r>
        <r>
          <rPr>
            <sz val="8"/>
            <rFont val="Tahoma"/>
            <family val="0"/>
          </rPr>
          <t xml:space="preserve">
Contribution to crosscoancestry as 7-056 and one offspring in orchard. Twice times 0.25 times the products of the relatives occurance</t>
        </r>
      </text>
    </comment>
    <comment ref="H39" authorId="1">
      <text>
        <r>
          <rPr>
            <b/>
            <sz val="10"/>
            <color indexed="50"/>
            <rFont val="Tahoma"/>
            <family val="2"/>
          </rPr>
          <t>Cross-coanstry</t>
        </r>
        <r>
          <rPr>
            <sz val="8"/>
            <rFont val="Tahoma"/>
            <family val="0"/>
          </rPr>
          <t xml:space="preserve">
Contribution to crosscoancestry as  three clones share 11010 as parent. See scheme below!</t>
        </r>
      </text>
    </comment>
    <comment ref="P31" authorId="1">
      <text>
        <r>
          <rPr>
            <b/>
            <sz val="10"/>
            <color indexed="50"/>
            <rFont val="Tahoma"/>
            <family val="2"/>
          </rPr>
          <t>Breeding Value</t>
        </r>
        <r>
          <rPr>
            <sz val="8"/>
            <rFont val="Tahoma"/>
            <family val="0"/>
          </rPr>
          <t xml:space="preserve">
A weighted average of the breeding values of the crops</t>
        </r>
      </text>
    </comment>
    <comment ref="P32" authorId="1">
      <text>
        <r>
          <rPr>
            <b/>
            <sz val="10"/>
            <color indexed="50"/>
            <rFont val="Tahoma"/>
            <family val="2"/>
          </rPr>
          <t>Adjustment for inbreeding</t>
        </r>
        <r>
          <rPr>
            <sz val="8"/>
            <rFont val="Tahoma"/>
            <family val="0"/>
          </rPr>
          <t xml:space="preserve">
The breeding value, thus the "genetic value" of the orchard adjusted for the inbreeding depression.</t>
        </r>
      </text>
    </comment>
    <comment ref="P33" authorId="1">
      <text>
        <r>
          <rPr>
            <b/>
            <sz val="10"/>
            <color indexed="50"/>
            <rFont val="Tahoma"/>
            <family val="2"/>
          </rPr>
          <t>Status number</t>
        </r>
        <r>
          <rPr>
            <b/>
            <sz val="8"/>
            <rFont val="Tahoma"/>
            <family val="0"/>
          </rPr>
          <t xml:space="preserve">
</t>
        </r>
        <r>
          <rPr>
            <sz val="8"/>
            <rFont val="Tahoma"/>
            <family val="2"/>
          </rPr>
          <t xml:space="preserve">Status number of the ramets in the seed orchard
</t>
        </r>
      </text>
    </comment>
    <comment ref="P34" authorId="1">
      <text>
        <r>
          <rPr>
            <b/>
            <sz val="10"/>
            <color indexed="50"/>
            <rFont val="Tahoma"/>
            <family val="2"/>
          </rPr>
          <t>Cross-coancestry</t>
        </r>
        <r>
          <rPr>
            <sz val="8"/>
            <rFont val="Tahoma"/>
            <family val="0"/>
          </rPr>
          <t xml:space="preserve">
Cross-coancestry is likely to give rise to inbreeding, in the first approximation the coefficient of inbreeding in the seed orchard crop will be the same as group coancestry.</t>
        </r>
      </text>
    </comment>
    <comment ref="P35" authorId="1">
      <text>
        <r>
          <rPr>
            <b/>
            <sz val="10"/>
            <color indexed="50"/>
            <rFont val="Tahoma"/>
            <family val="2"/>
          </rPr>
          <t>Self-coancestry</t>
        </r>
        <r>
          <rPr>
            <b/>
            <sz val="8"/>
            <rFont val="Tahoma"/>
            <family val="0"/>
          </rPr>
          <t xml:space="preserve">
</t>
        </r>
        <r>
          <rPr>
            <sz val="8"/>
            <rFont val="Tahoma"/>
            <family val="2"/>
          </rPr>
          <t>Self coancestry may give raise to selfing, but as selfing is unimportant in P taeda, this is neglected. Half the inverted contribution to selfcoancestry is  the effective number of clones!</t>
        </r>
      </text>
    </comment>
    <comment ref="P36" authorId="1">
      <text>
        <r>
          <rPr>
            <b/>
            <sz val="10"/>
            <color indexed="50"/>
            <rFont val="Tahoma"/>
            <family val="2"/>
          </rPr>
          <t>Effective number of clones</t>
        </r>
        <r>
          <rPr>
            <sz val="8"/>
            <rFont val="Tahoma"/>
            <family val="0"/>
          </rPr>
          <t xml:space="preserve">
Considers only a variable number of ramets, not other aspects, which status number considers. It can be seen as another way of expressing self-coancestry (in the absence of inbreeding).</t>
        </r>
      </text>
    </comment>
    <comment ref="P37" authorId="1">
      <text>
        <r>
          <rPr>
            <sz val="8"/>
            <rFont val="Tahoma"/>
            <family val="0"/>
          </rPr>
          <t xml:space="preserve">
This is just to check that the sum of all clonal contributions is 1!</t>
        </r>
      </text>
    </comment>
    <comment ref="P38" authorId="1">
      <text>
        <r>
          <rPr>
            <b/>
            <sz val="10"/>
            <color indexed="50"/>
            <rFont val="Tahoma"/>
            <family val="2"/>
          </rPr>
          <t>Cross-coancestry</t>
        </r>
        <r>
          <rPr>
            <sz val="8"/>
            <rFont val="Tahoma"/>
            <family val="0"/>
          </rPr>
          <t xml:space="preserve">
Contribution to crosscoancestry as 7-056 and one offspring in orchard. Twice times 0.25 times the products of the relatives occurance</t>
        </r>
      </text>
    </comment>
    <comment ref="P39" authorId="1">
      <text>
        <r>
          <rPr>
            <b/>
            <sz val="10"/>
            <color indexed="50"/>
            <rFont val="Tahoma"/>
            <family val="2"/>
          </rPr>
          <t>Cross-coanstry</t>
        </r>
        <r>
          <rPr>
            <sz val="8"/>
            <rFont val="Tahoma"/>
            <family val="0"/>
          </rPr>
          <t xml:space="preserve">
Contribution to crosscoancestry as  three clones share 11010 as parent. See scheme below!</t>
        </r>
      </text>
    </comment>
    <comment ref="S31" authorId="1">
      <text>
        <r>
          <rPr>
            <b/>
            <sz val="8"/>
            <rFont val="Tahoma"/>
            <family val="0"/>
          </rPr>
          <t>dagl:</t>
        </r>
        <r>
          <rPr>
            <sz val="8"/>
            <rFont val="Tahoma"/>
            <family val="0"/>
          </rPr>
          <t xml:space="preserve">
The difference between this gain and the gain to the right demonstrates the loss because integer values are used!
It is 0.05 gain u nits!</t>
        </r>
      </text>
    </comment>
    <comment ref="AE5" authorId="1">
      <text>
        <r>
          <rPr>
            <sz val="10"/>
            <color indexed="57"/>
            <rFont val="Tahoma"/>
            <family val="2"/>
          </rPr>
          <t>Specified alternatives</t>
        </r>
        <r>
          <rPr>
            <sz val="8"/>
            <rFont val="Tahoma"/>
            <family val="0"/>
          </rPr>
          <t xml:space="preserve">
These are not derived in these columns, but in columns to the left. These can be seen as results!
When a solution with desirable characteristics has been derived in the columns to the right, it is glued over in these columns!</t>
        </r>
      </text>
    </comment>
    <comment ref="AE7" authorId="1">
      <text>
        <r>
          <rPr>
            <b/>
            <sz val="10"/>
            <color indexed="57"/>
            <rFont val="Tahoma"/>
            <family val="2"/>
          </rPr>
          <t>Truncation selection</t>
        </r>
        <r>
          <rPr>
            <b/>
            <sz val="8"/>
            <rFont val="Tahoma"/>
            <family val="0"/>
          </rPr>
          <t xml:space="preserve"> 
Each clone above a certain breeding value is equally represented. The clonal number is in the cell</t>
        </r>
        <r>
          <rPr>
            <sz val="8"/>
            <rFont val="Tahoma"/>
            <family val="0"/>
          </rPr>
          <t xml:space="preserve">
</t>
        </r>
      </text>
    </comment>
    <comment ref="AF7" authorId="1">
      <text>
        <r>
          <rPr>
            <b/>
            <sz val="10"/>
            <color indexed="57"/>
            <rFont val="Tahoma"/>
            <family val="2"/>
          </rPr>
          <t>Truncation selection</t>
        </r>
        <r>
          <rPr>
            <b/>
            <sz val="8"/>
            <rFont val="Tahoma"/>
            <family val="0"/>
          </rPr>
          <t xml:space="preserve"> 
Each clone above a certain breeding value is equally represented. The clonal number is in the cell</t>
        </r>
        <r>
          <rPr>
            <sz val="8"/>
            <rFont val="Tahoma"/>
            <family val="0"/>
          </rPr>
          <t xml:space="preserve">
</t>
        </r>
      </text>
    </comment>
    <comment ref="AG7" authorId="1">
      <text>
        <r>
          <rPr>
            <b/>
            <sz val="8"/>
            <rFont val="Tahoma"/>
            <family val="0"/>
          </rPr>
          <t>dagl:</t>
        </r>
        <r>
          <rPr>
            <sz val="8"/>
            <rFont val="Tahoma"/>
            <family val="0"/>
          </rPr>
          <t xml:space="preserve">
Truncation selection with 20 followed by selective harvesting of 75%</t>
        </r>
      </text>
    </comment>
    <comment ref="AI7" authorId="1">
      <text>
        <r>
          <rPr>
            <b/>
            <sz val="10"/>
            <color indexed="57"/>
            <rFont val="Tahoma"/>
            <family val="2"/>
          </rPr>
          <t>Linear deployment</t>
        </r>
        <r>
          <rPr>
            <sz val="8"/>
            <rFont val="Tahoma"/>
            <family val="0"/>
          </rPr>
          <t xml:space="preserve">
Value given in the cell is the intercept for the line!</t>
        </r>
      </text>
    </comment>
    <comment ref="AJ7" authorId="1">
      <text>
        <r>
          <rPr>
            <b/>
            <sz val="10"/>
            <color indexed="57"/>
            <rFont val="Tahoma"/>
            <family val="2"/>
          </rPr>
          <t>Linear deployment</t>
        </r>
        <r>
          <rPr>
            <sz val="8"/>
            <rFont val="Tahoma"/>
            <family val="0"/>
          </rPr>
          <t xml:space="preserve">
Value given in the cell is the intercept for the line!</t>
        </r>
      </text>
    </comment>
    <comment ref="AK7" authorId="1">
      <text>
        <r>
          <rPr>
            <b/>
            <sz val="10"/>
            <color indexed="57"/>
            <rFont val="Tahoma"/>
            <family val="2"/>
          </rPr>
          <t>Linear deployment</t>
        </r>
        <r>
          <rPr>
            <sz val="8"/>
            <rFont val="Tahoma"/>
            <family val="0"/>
          </rPr>
          <t xml:space="preserve">
Value given in the cell is the intercept for the line and harvesting the 75 best %</t>
        </r>
      </text>
    </comment>
    <comment ref="AK33" authorId="1">
      <text>
        <r>
          <rPr>
            <b/>
            <sz val="8"/>
            <rFont val="Tahoma"/>
            <family val="0"/>
          </rPr>
          <t>dagl:</t>
        </r>
        <r>
          <rPr>
            <sz val="8"/>
            <rFont val="Tahoma"/>
            <family val="0"/>
          </rPr>
          <t xml:space="preserve">
The influence of cross-coancestry on the status number is expected to be correct.</t>
        </r>
      </text>
    </comment>
    <comment ref="I8" authorId="1">
      <text>
        <r>
          <rPr>
            <sz val="8"/>
            <rFont val="Tahoma"/>
            <family val="0"/>
          </rPr>
          <t xml:space="preserve">
In this column are unadjusted relative contributions. They need to be adjusted to make their sum = 1.</t>
        </r>
      </text>
    </comment>
    <comment ref="H8" authorId="1">
      <text>
        <r>
          <rPr>
            <sz val="8"/>
            <rFont val="Tahoma"/>
            <family val="0"/>
          </rPr>
          <t>The array below is the clonal proportions corresponding to the suggested intercept above.</t>
        </r>
      </text>
    </comment>
    <comment ref="U3" authorId="1">
      <text>
        <r>
          <rPr>
            <b/>
            <sz val="10"/>
            <color indexed="50"/>
            <rFont val="Tahoma"/>
            <family val="2"/>
          </rPr>
          <t>Solver in this sheet</t>
        </r>
        <r>
          <rPr>
            <sz val="8"/>
            <rFont val="Tahoma"/>
            <family val="0"/>
          </rPr>
          <t xml:space="preserve">
Some suggested models, which can be loaded into Sover, are stored in this workbook.
</t>
        </r>
        <r>
          <rPr>
            <sz val="8"/>
            <color indexed="10"/>
            <rFont val="Tahoma"/>
            <family val="2"/>
          </rPr>
          <t>Genetic value, mainly adjusted for inbreeding, should be maximised.</t>
        </r>
        <r>
          <rPr>
            <sz val="8"/>
            <rFont val="Tahoma"/>
            <family val="0"/>
          </rPr>
          <t xml:space="preserve">
</t>
        </r>
        <r>
          <rPr>
            <sz val="8"/>
            <color indexed="10"/>
            <rFont val="Tahoma"/>
            <family val="2"/>
          </rPr>
          <t>Proportions should add up to 1.</t>
        </r>
        <r>
          <rPr>
            <sz val="8"/>
            <rFont val="Tahoma"/>
            <family val="0"/>
          </rPr>
          <t xml:space="preserve">
</t>
        </r>
        <r>
          <rPr>
            <sz val="8"/>
            <color indexed="10"/>
            <rFont val="Tahoma"/>
            <family val="2"/>
          </rPr>
          <t>No proportion should be negative and no larger than 1.</t>
        </r>
        <r>
          <rPr>
            <sz val="8"/>
            <rFont val="Tahoma"/>
            <family val="0"/>
          </rPr>
          <t xml:space="preserve">
Put options to </t>
        </r>
        <r>
          <rPr>
            <sz val="8"/>
            <color indexed="10"/>
            <rFont val="Tahoma"/>
            <family val="2"/>
          </rPr>
          <t>assume non-negative</t>
        </r>
        <r>
          <rPr>
            <sz val="8"/>
            <rFont val="Tahoma"/>
            <family val="0"/>
          </rPr>
          <t xml:space="preserve">, when it need not be specifically specified for each proprortion!
It is not neccessary for EXCEL solver to specify the condition for each proportion, it is enough to add conditions for proportions wich stray away otherwice. So it is enough to constrain the highest breeding values with &lt;1.
In Solver one can use  "Options". Solver does not always work well, and it can help to adjust options. Help in options helps to give ideas of adjustments!
You can try to place following values into Precision: 0.00000001; Tolerance: 0.002; Convergence: 0.0001.
I found that it was needed to increase the default on iterations, I put it to </t>
        </r>
        <r>
          <rPr>
            <b/>
            <sz val="8"/>
            <color indexed="10"/>
            <rFont val="Tahoma"/>
            <family val="2"/>
          </rPr>
          <t>2000</t>
        </r>
        <r>
          <rPr>
            <sz val="8"/>
            <rFont val="Tahoma"/>
            <family val="0"/>
          </rPr>
          <t xml:space="preserve">
If solver stops because it reaches the iteration limit, you may raise that if solver did not take much time, otherwice try to think is there are other ways to get it work faster.
It helps to come to a correct solution faster if the initial vales are close to final, so consider that if it takes long time, or if it does not find a reasonable solution. It could be a good idea to try widely different initiation values some time, to check that solver converges to the same solution.
The speed of solver can be improved by changing some settings, but this is seldom needed as it anyway works fast enough.  
A situation when there is reason to be suspective to the solver solutions is when it can not improve suggested initital solutions. When consider turn to automatic scaling or central derivatives.
Do not assume linear model if you do not know it is linear (gene diversity is not linear).
Use automatic scaling if input and output values differ in magnitudes!
Quadratic extrapolatin could be used if troubles occur!
Use Conjugate search if you run into trouble and have more than 50 variables.
Try using central derivatives if solver runs into problems or returns a message that it cannot improve the solution.
If solver give  message of lacking running time, increasing Max time can be a response, but there are other ways to make it to run faster (on the cost of precision).
Solver solutions can be saved and some suggestions are (probably) fond in this worksheet, which can be loaded.
If Solver is problematic, there are more powerful versions on the market.
Last major edit  DL 030128
</t>
        </r>
      </text>
    </comment>
    <comment ref="Q5" authorId="1">
      <text>
        <r>
          <rPr>
            <b/>
            <sz val="10"/>
            <color indexed="57"/>
            <rFont val="Tahoma"/>
            <family val="2"/>
          </rPr>
          <t>Integer routine</t>
        </r>
        <r>
          <rPr>
            <sz val="8"/>
            <rFont val="Tahoma"/>
            <family val="0"/>
          </rPr>
          <t xml:space="preserve">
Instructions for use of the integer routine
* Paste the suggested proportions
* Insert the total ramet number wanted in cell 
* Adjust the truncation by changing the value in cell so they add up to the desired value.
*. The truncated proportions in column  can be compared with the real in column </t>
        </r>
      </text>
    </comment>
    <comment ref="C2" authorId="1">
      <text>
        <r>
          <rPr>
            <b/>
            <sz val="10"/>
            <color indexed="50"/>
            <rFont val="Tahoma"/>
            <family val="2"/>
          </rPr>
          <t>Description</t>
        </r>
        <r>
          <rPr>
            <sz val="8"/>
            <rFont val="Tahoma"/>
            <family val="0"/>
          </rPr>
          <t xml:space="preserve">
Breeding values and relatedness of clones are known and the deployed proportions of each clone are searched for.
The procedures to help with that are truncation, linear deployment and solver. All seeds may not be needed, selective harvest can help with that. Deployed proportions are suggested, real numbers are needed. Integer routine can help with that.</t>
        </r>
      </text>
    </comment>
    <comment ref="D2" authorId="1">
      <text>
        <r>
          <rPr>
            <b/>
            <sz val="10"/>
            <color indexed="57"/>
            <rFont val="Tahoma"/>
            <family val="2"/>
          </rPr>
          <t>Manual</t>
        </r>
        <r>
          <rPr>
            <sz val="8"/>
            <rFont val="Tahoma"/>
            <family val="0"/>
          </rPr>
          <t xml:space="preserve">
* Are data suitable? (see suitable input data)
* Paste in data (see new clone)
* Construct the coancestry formulas
* Decide the inbreeding depression factor</t>
        </r>
      </text>
    </comment>
    <comment ref="C4" authorId="1">
      <text>
        <r>
          <rPr>
            <b/>
            <sz val="10"/>
            <color indexed="57"/>
            <rFont val="Tahoma"/>
            <family val="2"/>
          </rPr>
          <t>Input data</t>
        </r>
        <r>
          <rPr>
            <sz val="8"/>
            <rFont val="Tahoma"/>
            <family val="0"/>
          </rPr>
          <t xml:space="preserve">
This worksheet is meant for a shortlisted number of candidate clones with known breeding values for establishing a specific seed orchard. 
Relatedness should be constrained to separate families with two or three members. Relationships are probably only parent-offspring, halfsib or fullsib.
Suggestion: shortlist 20, or 170% of required effective number of clones, whatever is biggest.
</t>
        </r>
      </text>
    </comment>
    <comment ref="B6" authorId="1">
      <text>
        <r>
          <rPr>
            <sz val="8"/>
            <rFont val="Tahoma"/>
            <family val="0"/>
          </rPr>
          <t>Identities of shortlisted clones (when the numbers in the column to the right could be used!). The pedigree is an example and can not be changed by the customer.</t>
        </r>
      </text>
    </comment>
    <comment ref="A3" authorId="1">
      <text>
        <r>
          <rPr>
            <sz val="8"/>
            <rFont val="Tahoma"/>
            <family val="0"/>
          </rPr>
          <t>In the cells to the right you can see the meaning of some cell styles</t>
        </r>
      </text>
    </comment>
    <comment ref="K3" authorId="1">
      <text>
        <r>
          <rPr>
            <sz val="8"/>
            <rFont val="Tahoma"/>
            <family val="0"/>
          </rPr>
          <t xml:space="preserve">
Black text is just explanatory</t>
        </r>
      </text>
    </comment>
    <comment ref="B4" authorId="1">
      <text>
        <r>
          <rPr>
            <b/>
            <sz val="10"/>
            <color indexed="57"/>
            <rFont val="Tahoma"/>
            <family val="2"/>
          </rPr>
          <t>New data (candidates)</t>
        </r>
        <r>
          <rPr>
            <b/>
            <sz val="8"/>
            <rFont val="Tahoma"/>
            <family val="0"/>
          </rPr>
          <t>:
It is problematic to change the number of entries, and problems easily occurs!</t>
        </r>
        <r>
          <rPr>
            <sz val="8"/>
            <rFont val="Tahoma"/>
            <family val="0"/>
          </rPr>
          <t xml:space="preserve">
If new data are inserted the following steps must be taken
* there may be hidden rows and columns, if you start to tamper with the sheet, it is safer to unhide these, when you get a better overview for using the sheet than when they are hidden.
* adjust the number of rows between the first and last data row so the number of data rows corresponds exactly to the number of candidates.
* Note that first, second and last data row should remain, insertions or delations of rows should not affect them! As the coancestry calculations get data from some rows, many functions would cause temporal problems if these rows were removed. Selective harvest requests that the second line is inact!
*  See that marks for related families are removed.
* paste identifications and breeding values for the candidates.
* look for relatedness, identify related groups (it is no good idea to use this worksheet if families are larger than 3). It may be helpfull to draw the coancestry matrixes, and color the background of the family groups.
* Insert the coancestry formulas (last formula cells in the columns) for the  contribution of relatives to the coancestry matrix (if explanation needed see TBT).
* It could be a good idea to rank data for breeding value, but it is needed only for "selective harvest".
* Check! In particular that "pointers" to arrays point at the right rows.
</t>
        </r>
      </text>
    </comment>
    <comment ref="A2" authorId="1">
      <text>
        <r>
          <rPr>
            <b/>
            <sz val="8"/>
            <rFont val="Tahoma"/>
            <family val="0"/>
          </rPr>
          <t xml:space="preserve">Get started
</t>
        </r>
        <r>
          <rPr>
            <sz val="8"/>
            <rFont val="Tahoma"/>
            <family val="2"/>
          </rPr>
          <t xml:space="preserve">
*  Note, that the Identifications are given as an example on how you can use own pedigree data. Thus, do not change the Identification columns.
*  Browse the sheet
* Try some diff</t>
        </r>
        <r>
          <rPr>
            <sz val="8"/>
            <rFont val="Tahoma"/>
            <family val="0"/>
          </rPr>
          <t>erent magnifications
* Insert another breeding value in column E. Note how the suggested proportions in the column H, linear deplyment, changes. Note the changes in the results rows (31-36)
* Try manipulating the truncation limit (F5), note what happens when fewer of the candidates get selected. The blue output in the column in the rows where breeding value data are indicate the clones share of orchard ramets.</t>
        </r>
      </text>
    </comment>
    <comment ref="G8" authorId="1">
      <text>
        <r>
          <rPr>
            <b/>
            <sz val="8"/>
            <rFont val="Tahoma"/>
            <family val="0"/>
          </rPr>
          <t>dagl:</t>
        </r>
        <r>
          <rPr>
            <sz val="8"/>
            <rFont val="Tahoma"/>
            <family val="0"/>
          </rPr>
          <t xml:space="preserve">
1 if the clone is above the truncation point, zero else</t>
        </r>
      </text>
    </comment>
    <comment ref="A1" authorId="2">
      <text>
        <r>
          <rPr>
            <sz val="8"/>
            <rFont val="Tahoma"/>
            <family val="0"/>
          </rPr>
          <t>Note, related to other candidates!</t>
        </r>
      </text>
    </comment>
    <comment ref="A1" authorId="2">
      <text>
        <r>
          <rPr>
            <sz val="8"/>
            <rFont val="Tahoma"/>
            <family val="0"/>
          </rPr>
          <t>Note, related to other candidates!</t>
        </r>
      </text>
    </comment>
    <comment ref="A1" authorId="2">
      <text>
        <r>
          <rPr>
            <sz val="8"/>
            <rFont val="Tahoma"/>
            <family val="0"/>
          </rPr>
          <t>Note, related to other candidates!</t>
        </r>
      </text>
    </comment>
    <comment ref="A1" authorId="2">
      <text>
        <r>
          <rPr>
            <sz val="8"/>
            <rFont val="Tahoma"/>
            <family val="0"/>
          </rPr>
          <t>Note, related to other candidates!</t>
        </r>
      </text>
    </comment>
    <comment ref="A1" authorId="2">
      <text>
        <r>
          <rPr>
            <sz val="8"/>
            <rFont val="Tahoma"/>
            <family val="0"/>
          </rPr>
          <t>Note, related to other candidates!</t>
        </r>
      </text>
    </comment>
    <comment ref="A1" authorId="2">
      <text>
        <r>
          <rPr>
            <sz val="8"/>
            <rFont val="Tahoma"/>
            <family val="0"/>
          </rPr>
          <t>Note, related to other candidates!</t>
        </r>
      </text>
    </comment>
    <comment ref="A1" authorId="2">
      <text>
        <r>
          <rPr>
            <sz val="8"/>
            <rFont val="Tahoma"/>
            <family val="0"/>
          </rPr>
          <t>Note, related to other candidates!</t>
        </r>
      </text>
    </comment>
    <comment ref="A1" authorId="2">
      <text>
        <r>
          <rPr>
            <sz val="8"/>
            <rFont val="Tahoma"/>
            <family val="0"/>
          </rPr>
          <t>Note, related to other candidates!</t>
        </r>
      </text>
    </comment>
    <comment ref="B21" authorId="1">
      <text>
        <r>
          <rPr>
            <sz val="8"/>
            <rFont val="Tahoma"/>
            <family val="0"/>
          </rPr>
          <t>Note, related to other candidates!</t>
        </r>
      </text>
    </comment>
    <comment ref="B26" authorId="1">
      <text>
        <r>
          <rPr>
            <sz val="8"/>
            <rFont val="Tahoma"/>
            <family val="0"/>
          </rPr>
          <t>Note, related to other candidates!</t>
        </r>
      </text>
    </comment>
    <comment ref="B27" authorId="1">
      <text>
        <r>
          <rPr>
            <sz val="8"/>
            <rFont val="Tahoma"/>
            <family val="0"/>
          </rPr>
          <t>Note, related to other candidates!</t>
        </r>
      </text>
    </comment>
    <comment ref="A1" authorId="2">
      <text>
        <r>
          <rPr>
            <sz val="8"/>
            <rFont val="Tahoma"/>
            <family val="0"/>
          </rPr>
          <t>Note, related to other candidates!</t>
        </r>
      </text>
    </comment>
    <comment ref="A1" authorId="2">
      <text>
        <r>
          <rPr>
            <sz val="8"/>
            <rFont val="Tahoma"/>
            <family val="0"/>
          </rPr>
          <t>Note, related to other candidates!</t>
        </r>
      </text>
    </comment>
    <comment ref="A1" authorId="2">
      <text>
        <r>
          <rPr>
            <sz val="8"/>
            <rFont val="Tahoma"/>
            <family val="0"/>
          </rPr>
          <t>The sum of all pollen parent contributions (column to left)</t>
        </r>
      </text>
    </comment>
    <comment ref="A1" authorId="2">
      <text>
        <r>
          <rPr>
            <sz val="8"/>
            <rFont val="Tahoma"/>
            <family val="0"/>
          </rPr>
          <t>The sum of all seed parent contributions (column to right)</t>
        </r>
      </text>
    </comment>
    <comment ref="A1" authorId="2">
      <text>
        <r>
          <rPr>
            <sz val="8"/>
            <rFont val="Tahoma"/>
            <family val="0"/>
          </rPr>
          <t>There are probably a number of hidden columns in this spreadsheet. This is functions which I do not think a common user without a strong interest in the technical aspects is interested in.</t>
        </r>
      </text>
    </comment>
    <comment ref="A1" authorId="2">
      <text>
        <r>
          <rPr>
            <sz val="8"/>
            <rFont val="Tahoma"/>
            <family val="0"/>
          </rPr>
          <t xml:space="preserve">
The clonal proportions are in the same time the share as pollen parents.
The proportions in the column must be pasted or inserted or found by Solver! They can even be replaced by formulas, e.g. From another column.</t>
        </r>
      </text>
    </comment>
    <comment ref="C42" authorId="1">
      <text>
        <r>
          <rPr>
            <sz val="8"/>
            <rFont val="Tahoma"/>
            <family val="0"/>
          </rPr>
          <t xml:space="preserve">
On the diagonal are self-coancestry, typical 0.5.</t>
        </r>
      </text>
    </comment>
    <comment ref="A1" authorId="2">
      <text>
        <r>
          <rPr>
            <sz val="8"/>
            <rFont val="Tahoma"/>
            <family val="0"/>
          </rPr>
          <t>This is just to check that the shares of clones add up to one</t>
        </r>
      </text>
    </comment>
    <comment ref="A1" authorId="2">
      <text>
        <r>
          <rPr>
            <sz val="8"/>
            <rFont val="Tahoma"/>
            <family val="0"/>
          </rPr>
          <t>This is just to check that the shares of clones add up to one</t>
        </r>
      </text>
    </comment>
    <comment ref="A1" authorId="2">
      <text>
        <r>
          <rPr>
            <b/>
            <sz val="8"/>
            <color indexed="17"/>
            <rFont val="Tahoma"/>
            <family val="2"/>
          </rPr>
          <t>Technical comment</t>
        </r>
        <r>
          <rPr>
            <sz val="8"/>
            <rFont val="Tahoma"/>
            <family val="0"/>
          </rPr>
          <t xml:space="preserve">
This explaines the computations behind the shares of selective harvest. They are in the (probably hidden two) columns to the left). First an accumulative summation of cone harvests from the top of the ranking list is made. When the clonal contributions above the total harvested fraction are accetpted. Those rejected get a negative sign and for the last accepted, what can be harvested within the limit is calculated. In this column the harvests are converted to shares of the total harvest by dividing with the fraction harvested (given by the red input near). This constitutes seed parent shares, the total shares to the right considers pollen parent contributions also.   </t>
        </r>
      </text>
    </comment>
  </commentList>
</comments>
</file>

<file path=xl/sharedStrings.xml><?xml version="1.0" encoding="utf-8"?>
<sst xmlns="http://schemas.openxmlformats.org/spreadsheetml/2006/main" count="383" uniqueCount="280">
  <si>
    <t xml:space="preserve">SEED ORCHARD MANAGEMENT - RELATEDNESS AND GAIN </t>
  </si>
  <si>
    <t xml:space="preserve">Color codes are: </t>
  </si>
  <si>
    <t>Input</t>
  </si>
  <si>
    <t>Results</t>
  </si>
  <si>
    <t>General settings</t>
  </si>
  <si>
    <t>Seed orchard crop</t>
  </si>
  <si>
    <t>Formulas and intermediary values</t>
  </si>
  <si>
    <t>Studied case</t>
  </si>
  <si>
    <t>Formula for gain</t>
  </si>
  <si>
    <t>Group
coancestry</t>
  </si>
  <si>
    <t>Formula for group coancestry</t>
  </si>
  <si>
    <t>Initial seed orchard crop</t>
  </si>
  <si>
    <t>Harvest best clones, no thinning</t>
  </si>
  <si>
    <t>Clones used for cone harvest</t>
  </si>
  <si>
    <t>Genetic thinning</t>
  </si>
  <si>
    <t>Remaining clones</t>
  </si>
  <si>
    <t>Clones which serve as pollen source</t>
  </si>
  <si>
    <t>Harvested clones</t>
  </si>
  <si>
    <t>Combined effect</t>
  </si>
  <si>
    <t>Different (or partly different) seed and pollen parents</t>
  </si>
  <si>
    <t>Number of candidates clones were selected from</t>
  </si>
  <si>
    <t>Designations</t>
  </si>
  <si>
    <t>i =</t>
  </si>
  <si>
    <t>selection intensity</t>
  </si>
  <si>
    <t>N</t>
  </si>
  <si>
    <r>
      <t>a</t>
    </r>
    <r>
      <rPr>
        <sz val="10"/>
        <rFont val="Arial"/>
        <family val="2"/>
      </rPr>
      <t xml:space="preserve"> =</t>
    </r>
  </si>
  <si>
    <r>
      <t>F</t>
    </r>
    <r>
      <rPr>
        <sz val="10"/>
        <rFont val="Arial"/>
        <family val="0"/>
      </rPr>
      <t>(</t>
    </r>
    <r>
      <rPr>
        <i/>
        <sz val="10"/>
        <rFont val="Arial"/>
        <family val="2"/>
      </rPr>
      <t>x</t>
    </r>
    <r>
      <rPr>
        <sz val="10"/>
        <rFont val="Arial"/>
        <family val="0"/>
      </rPr>
      <t>)=</t>
    </r>
    <r>
      <rPr>
        <i/>
        <sz val="10"/>
        <rFont val="Arial"/>
        <family val="2"/>
      </rPr>
      <t>x</t>
    </r>
    <r>
      <rPr>
        <vertAlign val="superscript"/>
        <sz val="10"/>
        <rFont val="Arial"/>
        <family val="2"/>
      </rPr>
      <t>a</t>
    </r>
  </si>
  <si>
    <r>
      <t>a</t>
    </r>
    <r>
      <rPr>
        <sz val="10"/>
        <rFont val="Arial"/>
        <family val="0"/>
      </rPr>
      <t>=</t>
    </r>
  </si>
  <si>
    <t>exponent of power function which can not be less than 1</t>
  </si>
  <si>
    <t>Group coancestry (average coancestry, average kinship) of orchard clones</t>
  </si>
  <si>
    <t>Census number of clones in a seed orchard</t>
  </si>
  <si>
    <r>
      <t>s</t>
    </r>
    <r>
      <rPr>
        <vertAlign val="subscript"/>
        <sz val="10"/>
        <rFont val="Arial"/>
        <family val="2"/>
      </rPr>
      <t>A</t>
    </r>
    <r>
      <rPr>
        <sz val="10"/>
        <rFont val="Arial"/>
        <family val="2"/>
      </rPr>
      <t>=</t>
    </r>
  </si>
  <si>
    <t>Variance effective population size</t>
  </si>
  <si>
    <t>Information needed for gain is only in italics</t>
  </si>
  <si>
    <t>Genetic thinning first, then harvest best clones</t>
  </si>
  <si>
    <t>Migration rate by pollen contamination</t>
  </si>
  <si>
    <t>Status effective number</t>
  </si>
  <si>
    <r>
      <t>GD</t>
    </r>
    <r>
      <rPr>
        <sz val="10"/>
        <rFont val="Arial"/>
        <family val="0"/>
      </rPr>
      <t>=</t>
    </r>
  </si>
  <si>
    <t>Relative gene diversity of seed crop</t>
  </si>
  <si>
    <r>
      <t>N</t>
    </r>
    <r>
      <rPr>
        <i/>
        <vertAlign val="subscript"/>
        <sz val="10"/>
        <rFont val="Arial"/>
        <family val="2"/>
      </rPr>
      <t>s</t>
    </r>
    <r>
      <rPr>
        <sz val="10"/>
        <rFont val="Arial"/>
        <family val="2"/>
      </rPr>
      <t>=</t>
    </r>
  </si>
  <si>
    <r>
      <t>N</t>
    </r>
    <r>
      <rPr>
        <sz val="10"/>
        <rFont val="Arial"/>
        <family val="2"/>
      </rPr>
      <t xml:space="preserve"> =</t>
    </r>
  </si>
  <si>
    <r>
      <t>N</t>
    </r>
    <r>
      <rPr>
        <i/>
        <vertAlign val="subscript"/>
        <sz val="10"/>
        <rFont val="Arial"/>
        <family val="2"/>
      </rPr>
      <t>e</t>
    </r>
    <r>
      <rPr>
        <vertAlign val="superscript"/>
        <sz val="10"/>
        <rFont val="Arial"/>
        <family val="2"/>
      </rPr>
      <t>(</t>
    </r>
    <r>
      <rPr>
        <i/>
        <vertAlign val="superscript"/>
        <sz val="10"/>
        <rFont val="Arial"/>
        <family val="2"/>
      </rPr>
      <t>v</t>
    </r>
    <r>
      <rPr>
        <vertAlign val="superscript"/>
        <sz val="10"/>
        <rFont val="Arial"/>
        <family val="2"/>
      </rPr>
      <t>)</t>
    </r>
    <r>
      <rPr>
        <sz val="10"/>
        <rFont val="Arial"/>
        <family val="2"/>
      </rPr>
      <t>=</t>
    </r>
  </si>
  <si>
    <r>
      <t>G</t>
    </r>
    <r>
      <rPr>
        <sz val="10"/>
        <rFont val="Arial"/>
        <family val="2"/>
      </rPr>
      <t xml:space="preserve"> =</t>
    </r>
  </si>
  <si>
    <r>
      <t>N</t>
    </r>
    <r>
      <rPr>
        <i/>
        <vertAlign val="subscript"/>
        <sz val="10"/>
        <rFont val="Arial"/>
        <family val="2"/>
      </rPr>
      <t>mf</t>
    </r>
    <r>
      <rPr>
        <sz val="10"/>
        <rFont val="Arial"/>
        <family val="0"/>
      </rPr>
      <t>=</t>
    </r>
  </si>
  <si>
    <t xml:space="preserve">SÄRPLOCKNING I FRÖPLANTAGER </t>
  </si>
  <si>
    <t>Formler</t>
  </si>
  <si>
    <t>Antal kloner i plantagen (fäder, N)</t>
  </si>
  <si>
    <r>
      <t>Antal kloner som särplockas (mödrar, N</t>
    </r>
    <r>
      <rPr>
        <b/>
        <vertAlign val="subscript"/>
        <sz val="10"/>
        <color indexed="57"/>
        <rFont val="Arial"/>
        <family val="2"/>
      </rPr>
      <t>m</t>
    </r>
    <r>
      <rPr>
        <b/>
        <sz val="10"/>
        <color indexed="57"/>
        <rFont val="Arial"/>
        <family val="2"/>
      </rPr>
      <t>)</t>
    </r>
  </si>
  <si>
    <t>Fruktbarhetsvariationer (A)</t>
  </si>
  <si>
    <t>Genetiskt vinst av särplockning  (G)</t>
  </si>
  <si>
    <r>
      <t>Effektivt antal (N</t>
    </r>
    <r>
      <rPr>
        <b/>
        <vertAlign val="subscript"/>
        <sz val="10"/>
        <color indexed="57"/>
        <rFont val="Arial"/>
        <family val="2"/>
      </rPr>
      <t>eff</t>
    </r>
    <r>
      <rPr>
        <b/>
        <sz val="10"/>
        <color indexed="57"/>
        <rFont val="Arial"/>
        <family val="2"/>
      </rPr>
      <t>)</t>
    </r>
  </si>
  <si>
    <t>Initial seed orchard consisting of 100 unrelaed clones</t>
  </si>
  <si>
    <t>Pollenkontamination (c)</t>
  </si>
  <si>
    <t>Dag Lindgren 1999-10-05</t>
  </si>
  <si>
    <t>Intermediary values</t>
  </si>
  <si>
    <t>Pollen contamination (%) =</t>
  </si>
  <si>
    <r>
      <t>(1-</t>
    </r>
    <r>
      <rPr>
        <i/>
        <sz val="9"/>
        <rFont val="Arial"/>
        <family val="2"/>
      </rPr>
      <t>M</t>
    </r>
    <r>
      <rPr>
        <sz val="9"/>
        <rFont val="Arial"/>
        <family val="2"/>
      </rPr>
      <t>)</t>
    </r>
    <r>
      <rPr>
        <vertAlign val="superscript"/>
        <sz val="9"/>
        <rFont val="Arial"/>
        <family val="2"/>
      </rPr>
      <t xml:space="preserve">2 </t>
    </r>
    <r>
      <rPr>
        <sz val="9"/>
        <rFont val="Arial"/>
        <family val="2"/>
      </rPr>
      <t>=</t>
    </r>
  </si>
  <si>
    <r>
      <t>M</t>
    </r>
    <r>
      <rPr>
        <sz val="9"/>
        <rFont val="Arial"/>
        <family val="2"/>
      </rPr>
      <t xml:space="preserve"> =</t>
    </r>
  </si>
  <si>
    <t>C =</t>
  </si>
  <si>
    <t>MC =</t>
  </si>
  <si>
    <r>
      <t>p</t>
    </r>
    <r>
      <rPr>
        <i/>
        <vertAlign val="subscript"/>
        <sz val="10"/>
        <rFont val="Arial"/>
        <family val="2"/>
      </rPr>
      <t>i</t>
    </r>
  </si>
  <si>
    <r>
      <t>Clone
number (</t>
    </r>
    <r>
      <rPr>
        <i/>
        <sz val="8"/>
        <rFont val="Arial"/>
        <family val="2"/>
      </rPr>
      <t>N</t>
    </r>
    <r>
      <rPr>
        <sz val="8"/>
        <rFont val="Arial"/>
        <family val="0"/>
      </rPr>
      <t>)</t>
    </r>
  </si>
  <si>
    <r>
      <t>Status number (</t>
    </r>
    <r>
      <rPr>
        <i/>
        <sz val="8"/>
        <rFont val="Arial"/>
        <family val="2"/>
      </rPr>
      <t>N</t>
    </r>
    <r>
      <rPr>
        <i/>
        <vertAlign val="subscript"/>
        <sz val="8"/>
        <rFont val="Arial"/>
        <family val="2"/>
      </rPr>
      <t>s</t>
    </r>
    <r>
      <rPr>
        <sz val="8"/>
        <rFont val="Arial"/>
        <family val="0"/>
      </rPr>
      <t>)</t>
    </r>
  </si>
  <si>
    <r>
      <t>Variance effective number (</t>
    </r>
    <r>
      <rPr>
        <i/>
        <sz val="8"/>
        <rFont val="Arial"/>
        <family val="2"/>
      </rPr>
      <t>N</t>
    </r>
    <r>
      <rPr>
        <i/>
        <vertAlign val="subscript"/>
        <sz val="8"/>
        <rFont val="Arial"/>
        <family val="2"/>
      </rPr>
      <t>e</t>
    </r>
    <r>
      <rPr>
        <vertAlign val="superscript"/>
        <sz val="8"/>
        <rFont val="Arial"/>
        <family val="2"/>
      </rPr>
      <t>(</t>
    </r>
    <r>
      <rPr>
        <i/>
        <vertAlign val="superscript"/>
        <sz val="8"/>
        <rFont val="Arial"/>
        <family val="2"/>
      </rPr>
      <t>v</t>
    </r>
    <r>
      <rPr>
        <vertAlign val="superscript"/>
        <sz val="8"/>
        <rFont val="Arial"/>
        <family val="2"/>
      </rPr>
      <t>)</t>
    </r>
    <r>
      <rPr>
        <sz val="8"/>
        <rFont val="Arial"/>
        <family val="0"/>
      </rPr>
      <t>)</t>
    </r>
  </si>
  <si>
    <r>
      <t>Relative gene diversity (</t>
    </r>
    <r>
      <rPr>
        <i/>
        <sz val="8"/>
        <rFont val="Arial"/>
        <family val="2"/>
      </rPr>
      <t>GD</t>
    </r>
    <r>
      <rPr>
        <sz val="8"/>
        <rFont val="Arial"/>
        <family val="0"/>
      </rPr>
      <t>)</t>
    </r>
  </si>
  <si>
    <r>
      <t xml:space="preserve">Genetic
 value </t>
    </r>
    <r>
      <rPr>
        <sz val="8"/>
        <rFont val="Arial"/>
        <family val="2"/>
      </rPr>
      <t>(</t>
    </r>
    <r>
      <rPr>
        <i/>
        <sz val="8"/>
        <rFont val="Arial"/>
        <family val="0"/>
      </rPr>
      <t>G</t>
    </r>
    <r>
      <rPr>
        <sz val="8"/>
        <rFont val="Arial"/>
        <family val="2"/>
      </rPr>
      <t>)</t>
    </r>
  </si>
  <si>
    <r>
      <t xml:space="preserve">Selection
intensity </t>
    </r>
    <r>
      <rPr>
        <sz val="8"/>
        <rFont val="Arial"/>
        <family val="2"/>
      </rPr>
      <t>(</t>
    </r>
    <r>
      <rPr>
        <i/>
        <sz val="8"/>
        <rFont val="Arial"/>
        <family val="0"/>
      </rPr>
      <t>i</t>
    </r>
    <r>
      <rPr>
        <sz val="8"/>
        <rFont val="Arial"/>
        <family val="2"/>
      </rPr>
      <t>)</t>
    </r>
  </si>
  <si>
    <r>
      <t>Clone
number (</t>
    </r>
    <r>
      <rPr>
        <i/>
        <sz val="8"/>
        <rFont val="Arial"/>
        <family val="2"/>
      </rPr>
      <t>N</t>
    </r>
    <r>
      <rPr>
        <sz val="8"/>
        <rFont val="Arial"/>
        <family val="2"/>
      </rPr>
      <t>)</t>
    </r>
  </si>
  <si>
    <t>Correlation</t>
  </si>
  <si>
    <t>Coefficient of variance(%) in fertility among father clones</t>
  </si>
  <si>
    <r>
      <t xml:space="preserve">r </t>
    </r>
    <r>
      <rPr>
        <sz val="10"/>
        <rFont val="Arial"/>
        <family val="0"/>
      </rPr>
      <t>=</t>
    </r>
  </si>
  <si>
    <t>Correlation coefficient between mother and father fertility</t>
  </si>
  <si>
    <t>fertility variation of father clones that can not be smaller than 1</t>
  </si>
  <si>
    <t>fertility variation of mather clones that can not be smaller than 1</t>
  </si>
  <si>
    <t>Contamination inferiority that is a breeding value of contaminating pollen (measured with</t>
  </si>
  <si>
    <r>
      <t>C</t>
    </r>
    <r>
      <rPr>
        <sz val="10"/>
        <rFont val="Arial"/>
        <family val="0"/>
      </rPr>
      <t>=</t>
    </r>
  </si>
  <si>
    <t>the same units as gain, in practice C has usually a negative value)</t>
  </si>
  <si>
    <t>Additive variance (standard deviation of breeding value for orchard clones)</t>
  </si>
  <si>
    <t xml:space="preserve">Genetic gain (breeding value compared to average plus trees, genetic gain is the predicted </t>
  </si>
  <si>
    <t>breeding value of seed orchard crop)</t>
  </si>
  <si>
    <t>number of clones functioning as father</t>
  </si>
  <si>
    <t>number of clones functioning as mother</t>
  </si>
  <si>
    <t>number of clones that functions both as mother and father</t>
  </si>
  <si>
    <r>
      <t>M</t>
    </r>
    <r>
      <rPr>
        <sz val="10"/>
        <rFont val="Arial"/>
        <family val="2"/>
      </rPr>
      <t xml:space="preserve"> =</t>
    </r>
  </si>
  <si>
    <r>
      <t>C.V.</t>
    </r>
    <r>
      <rPr>
        <i/>
        <vertAlign val="subscript"/>
        <sz val="9"/>
        <rFont val="Arial"/>
        <family val="2"/>
      </rPr>
      <t xml:space="preserve"> </t>
    </r>
    <r>
      <rPr>
        <sz val="9"/>
        <rFont val="Arial"/>
        <family val="2"/>
      </rPr>
      <t>(%) =</t>
    </r>
  </si>
  <si>
    <t>sibling coefficient, integral of square contribution of total fertility. It can't be smaller than 1</t>
  </si>
  <si>
    <r>
      <t>s</t>
    </r>
    <r>
      <rPr>
        <vertAlign val="subscript"/>
        <sz val="9"/>
        <rFont val="Symbol"/>
        <family val="1"/>
      </rPr>
      <t xml:space="preserve">A </t>
    </r>
    <r>
      <rPr>
        <sz val="9"/>
        <rFont val="Symbol"/>
        <family val="1"/>
      </rPr>
      <t>=</t>
    </r>
  </si>
  <si>
    <r>
      <t>CV</t>
    </r>
    <r>
      <rPr>
        <vertAlign val="subscript"/>
        <sz val="9"/>
        <rFont val="Arial"/>
        <family val="2"/>
      </rPr>
      <t>m</t>
    </r>
    <r>
      <rPr>
        <sz val="9"/>
        <rFont val="Arial"/>
        <family val="2"/>
      </rPr>
      <t>(%) =</t>
    </r>
  </si>
  <si>
    <r>
      <t>CV</t>
    </r>
    <r>
      <rPr>
        <i/>
        <vertAlign val="subscript"/>
        <sz val="9"/>
        <rFont val="Arial"/>
        <family val="2"/>
      </rPr>
      <t xml:space="preserve">f </t>
    </r>
    <r>
      <rPr>
        <sz val="9"/>
        <rFont val="Arial"/>
        <family val="2"/>
      </rPr>
      <t>(%) =</t>
    </r>
  </si>
  <si>
    <t xml:space="preserve">Aim </t>
  </si>
  <si>
    <t>Method</t>
  </si>
  <si>
    <t>Acknowledgements</t>
  </si>
  <si>
    <t>General about EXCEL sheets on Dag Lindgrens web sites</t>
  </si>
  <si>
    <t>Value for forestry and benefit</t>
  </si>
  <si>
    <t>Initial settings</t>
  </si>
  <si>
    <t>Literature</t>
  </si>
  <si>
    <t>Examples</t>
  </si>
  <si>
    <t>Oversimplifications</t>
  </si>
  <si>
    <t>Suggested changes</t>
  </si>
  <si>
    <t>Explanations</t>
  </si>
  <si>
    <t>Note</t>
  </si>
  <si>
    <r>
      <t xml:space="preserve">  The user should experiment with changing the </t>
    </r>
    <r>
      <rPr>
        <b/>
        <sz val="8"/>
        <color indexed="10"/>
        <rFont val="Arial"/>
        <family val="2"/>
      </rPr>
      <t>red</t>
    </r>
    <r>
      <rPr>
        <b/>
        <sz val="8"/>
        <rFont val="Arial"/>
        <family val="2"/>
      </rPr>
      <t xml:space="preserve"> values, but do not change the </t>
    </r>
    <r>
      <rPr>
        <b/>
        <sz val="8"/>
        <color indexed="12"/>
        <rFont val="Arial"/>
        <family val="2"/>
      </rPr>
      <t>blue</t>
    </r>
    <r>
      <rPr>
        <b/>
        <sz val="8"/>
        <rFont val="Arial"/>
        <family val="2"/>
      </rPr>
      <t>!</t>
    </r>
  </si>
  <si>
    <t>Colour meaning:</t>
  </si>
  <si>
    <t>About</t>
  </si>
  <si>
    <t>Information needed for gain only is in italics</t>
  </si>
  <si>
    <t>Assumptions specific for this sheet</t>
  </si>
  <si>
    <t>Sheet specific explanations</t>
  </si>
  <si>
    <t>Total</t>
  </si>
  <si>
    <t>Candidate clones</t>
  </si>
  <si>
    <t>Clone number</t>
  </si>
  <si>
    <t>Pollination share</t>
  </si>
  <si>
    <t>Within tree</t>
  </si>
  <si>
    <t>Neighbours</t>
  </si>
  <si>
    <t>SeedOrchard
selfing</t>
  </si>
  <si>
    <t>Selections</t>
  </si>
  <si>
    <t>Selection intensity</t>
  </si>
  <si>
    <t>Status number</t>
  </si>
  <si>
    <t>Solver</t>
  </si>
  <si>
    <t>Solver - advanced</t>
  </si>
  <si>
    <t>Scenario</t>
  </si>
  <si>
    <t>Main</t>
  </si>
  <si>
    <t>Low</t>
  </si>
  <si>
    <t>High</t>
  </si>
  <si>
    <r>
      <t>G</t>
    </r>
    <r>
      <rPr>
        <i/>
        <vertAlign val="subscript"/>
        <sz val="9"/>
        <rFont val="Arial"/>
        <family val="2"/>
      </rPr>
      <t>C</t>
    </r>
    <r>
      <rPr>
        <i/>
        <sz val="9"/>
        <rFont val="Arial"/>
        <family val="2"/>
      </rPr>
      <t xml:space="preserve"> =</t>
    </r>
  </si>
  <si>
    <t>SelfLoss</t>
  </si>
  <si>
    <t>Fertilisation share</t>
  </si>
  <si>
    <t>SelfEff</t>
  </si>
  <si>
    <t>DiversityValueCoeff</t>
  </si>
  <si>
    <t>SelfProd</t>
  </si>
  <si>
    <r>
      <t>Fert</t>
    </r>
    <r>
      <rPr>
        <i/>
        <vertAlign val="subscript"/>
        <sz val="10"/>
        <rFont val="Arial"/>
        <family val="2"/>
      </rPr>
      <t>Self</t>
    </r>
  </si>
  <si>
    <t>FertC</t>
  </si>
  <si>
    <t>Y</t>
  </si>
  <si>
    <t>Symbol</t>
  </si>
  <si>
    <t>n</t>
  </si>
  <si>
    <t>Contamination,</t>
  </si>
  <si>
    <t>Sibling coefficient</t>
  </si>
  <si>
    <t>SeedOrchard
Distant</t>
  </si>
  <si>
    <t>i</t>
  </si>
  <si>
    <r>
      <t xml:space="preserve"> D</t>
    </r>
    <r>
      <rPr>
        <i/>
        <sz val="10"/>
        <rFont val="Times New Roman"/>
        <family val="1"/>
      </rPr>
      <t>G</t>
    </r>
    <r>
      <rPr>
        <sz val="10"/>
        <rFont val="Times New Roman"/>
        <family val="1"/>
      </rPr>
      <t xml:space="preserve">      </t>
    </r>
  </si>
  <si>
    <r>
      <t>Selection gain</t>
    </r>
    <r>
      <rPr>
        <sz val="10"/>
        <rFont val="Times New Roman"/>
        <family val="1"/>
      </rPr>
      <t xml:space="preserve">     </t>
    </r>
  </si>
  <si>
    <t>B</t>
  </si>
  <si>
    <r>
      <t>CV</t>
    </r>
    <r>
      <rPr>
        <i/>
        <vertAlign val="subscript"/>
        <sz val="10"/>
        <rFont val="Arial"/>
        <family val="2"/>
      </rPr>
      <t>A</t>
    </r>
  </si>
  <si>
    <r>
      <t>r</t>
    </r>
    <r>
      <rPr>
        <i/>
        <vertAlign val="subscript"/>
        <sz val="10"/>
        <rFont val="Arial"/>
        <family val="2"/>
      </rPr>
      <t>TI</t>
    </r>
  </si>
  <si>
    <t>Genetic variation</t>
  </si>
  <si>
    <t>Value of contamination</t>
  </si>
  <si>
    <r>
      <t>Genetic
 value (</t>
    </r>
    <r>
      <rPr>
        <i/>
        <sz val="8"/>
        <rFont val="Arial"/>
        <family val="2"/>
      </rPr>
      <t>G</t>
    </r>
    <r>
      <rPr>
        <sz val="8"/>
        <rFont val="Arial"/>
        <family val="2"/>
      </rPr>
      <t>)</t>
    </r>
  </si>
  <si>
    <r>
      <t xml:space="preserve">Clones serving as </t>
    </r>
    <r>
      <rPr>
        <i/>
        <sz val="8"/>
        <rFont val="Arial"/>
        <family val="2"/>
      </rPr>
      <t>both</t>
    </r>
    <r>
      <rPr>
        <sz val="8"/>
        <rFont val="Arial"/>
        <family val="0"/>
      </rPr>
      <t xml:space="preserve"> seed </t>
    </r>
    <r>
      <rPr>
        <i/>
        <sz val="8"/>
        <rFont val="Arial"/>
        <family val="2"/>
      </rPr>
      <t>and</t>
    </r>
    <r>
      <rPr>
        <sz val="8"/>
        <rFont val="Arial"/>
        <family val="0"/>
      </rPr>
      <t xml:space="preserve"> pollen source (</t>
    </r>
    <r>
      <rPr>
        <i/>
        <sz val="8"/>
        <rFont val="Arial"/>
        <family val="2"/>
      </rPr>
      <t>N</t>
    </r>
    <r>
      <rPr>
        <i/>
        <vertAlign val="subscript"/>
        <sz val="8"/>
        <rFont val="Arial"/>
        <family val="2"/>
      </rPr>
      <t>fm</t>
    </r>
    <r>
      <rPr>
        <sz val="8"/>
        <rFont val="Arial"/>
        <family val="0"/>
      </rPr>
      <t>)</t>
    </r>
  </si>
  <si>
    <t>Sheet: Seed orchard benefit and clone number</t>
  </si>
  <si>
    <t xml:space="preserve">SEED ORCHARD MANAGEMENT - BENEFIT and CLONE NUMBER </t>
  </si>
  <si>
    <t>Scenario to Solver</t>
  </si>
  <si>
    <t>GD</t>
  </si>
  <si>
    <r>
      <t>N</t>
    </r>
    <r>
      <rPr>
        <i/>
        <vertAlign val="subscript"/>
        <sz val="10"/>
        <rFont val="Arial"/>
        <family val="2"/>
      </rPr>
      <t>S</t>
    </r>
  </si>
  <si>
    <t>GD =</t>
  </si>
  <si>
    <t>Benefit</t>
  </si>
  <si>
    <t>Gain</t>
  </si>
  <si>
    <t>Diversity</t>
  </si>
  <si>
    <t>Aim</t>
  </si>
  <si>
    <r>
      <t>Fert</t>
    </r>
    <r>
      <rPr>
        <i/>
        <vertAlign val="subscript"/>
        <sz val="10"/>
        <rFont val="Arial"/>
        <family val="2"/>
      </rPr>
      <t>wTree</t>
    </r>
  </si>
  <si>
    <r>
      <t>Fert</t>
    </r>
    <r>
      <rPr>
        <i/>
        <vertAlign val="subscript"/>
        <sz val="10"/>
        <rFont val="Arial"/>
        <family val="2"/>
      </rPr>
      <t>Neighb</t>
    </r>
  </si>
  <si>
    <r>
      <t>Poll</t>
    </r>
    <r>
      <rPr>
        <i/>
        <vertAlign val="subscript"/>
        <sz val="10"/>
        <rFont val="Arial"/>
        <family val="2"/>
      </rPr>
      <t>wTree</t>
    </r>
  </si>
  <si>
    <r>
      <t>Poll</t>
    </r>
    <r>
      <rPr>
        <i/>
        <vertAlign val="subscript"/>
        <sz val="10"/>
        <rFont val="Arial"/>
        <family val="2"/>
      </rPr>
      <t>Neighb</t>
    </r>
  </si>
  <si>
    <r>
      <t>Poll</t>
    </r>
    <r>
      <rPr>
        <i/>
        <vertAlign val="subscript"/>
        <sz val="10"/>
        <rFont val="Arial"/>
        <family val="2"/>
      </rPr>
      <t>SO</t>
    </r>
  </si>
  <si>
    <r>
      <t xml:space="preserve"> Poll</t>
    </r>
    <r>
      <rPr>
        <i/>
        <vertAlign val="subscript"/>
        <sz val="10"/>
        <rFont val="Arial"/>
        <family val="2"/>
      </rPr>
      <t>C</t>
    </r>
  </si>
  <si>
    <t>Gene Diversity</t>
  </si>
  <si>
    <r>
      <t>Fert</t>
    </r>
    <r>
      <rPr>
        <i/>
        <vertAlign val="subscript"/>
        <sz val="10"/>
        <rFont val="Arial"/>
        <family val="2"/>
      </rPr>
      <t>SOoutcr</t>
    </r>
  </si>
  <si>
    <r>
      <t>Fert</t>
    </r>
    <r>
      <rPr>
        <i/>
        <vertAlign val="subscript"/>
        <sz val="10"/>
        <rFont val="Arial"/>
        <family val="2"/>
      </rPr>
      <t>T</t>
    </r>
  </si>
  <si>
    <t>Correlation measured true</t>
  </si>
  <si>
    <t>DL 2003-01-09</t>
  </si>
  <si>
    <r>
      <t>Y</t>
    </r>
    <r>
      <rPr>
        <sz val="12"/>
        <rFont val="Arial"/>
        <family val="2"/>
      </rPr>
      <t xml:space="preserve">= </t>
    </r>
  </si>
  <si>
    <r>
      <t>CV</t>
    </r>
    <r>
      <rPr>
        <i/>
        <vertAlign val="subscript"/>
        <sz val="9"/>
        <rFont val="Arial"/>
        <family val="2"/>
      </rPr>
      <t xml:space="preserve"> </t>
    </r>
    <r>
      <rPr>
        <sz val="9"/>
        <rFont val="Arial"/>
        <family val="2"/>
      </rPr>
      <t>(%) =</t>
    </r>
  </si>
  <si>
    <t>Kyu-Suk Kang and Dag Lindgren, last edited by DL 2003-01-15</t>
  </si>
  <si>
    <t>Case</t>
  </si>
  <si>
    <r>
      <t>Y</t>
    </r>
    <r>
      <rPr>
        <i/>
        <vertAlign val="subscript"/>
        <sz val="10"/>
        <rFont val="Arial"/>
        <family val="2"/>
      </rPr>
      <t>m</t>
    </r>
    <r>
      <rPr>
        <sz val="10"/>
        <rFont val="Arial"/>
        <family val="2"/>
      </rPr>
      <t xml:space="preserve"> = </t>
    </r>
  </si>
  <si>
    <r>
      <t>Y</t>
    </r>
    <r>
      <rPr>
        <i/>
        <vertAlign val="subscript"/>
        <sz val="10"/>
        <rFont val="Arial"/>
        <family val="2"/>
      </rPr>
      <t>f</t>
    </r>
    <r>
      <rPr>
        <vertAlign val="subscript"/>
        <sz val="10"/>
        <rFont val="Arial"/>
        <family val="2"/>
      </rPr>
      <t xml:space="preserve"> </t>
    </r>
    <r>
      <rPr>
        <sz val="10"/>
        <rFont val="Arial"/>
        <family val="2"/>
      </rPr>
      <t xml:space="preserve">= </t>
    </r>
  </si>
  <si>
    <r>
      <t>Y</t>
    </r>
    <r>
      <rPr>
        <i/>
        <vertAlign val="subscript"/>
        <sz val="10"/>
        <rFont val="Arial"/>
        <family val="2"/>
      </rPr>
      <t>t</t>
    </r>
    <r>
      <rPr>
        <vertAlign val="subscript"/>
        <sz val="10"/>
        <rFont val="Arial"/>
        <family val="2"/>
      </rPr>
      <t xml:space="preserve"> </t>
    </r>
    <r>
      <rPr>
        <sz val="10"/>
        <rFont val="Arial"/>
        <family val="2"/>
      </rPr>
      <t xml:space="preserve">= </t>
    </r>
  </si>
  <si>
    <r>
      <t>Y</t>
    </r>
    <r>
      <rPr>
        <i/>
        <vertAlign val="subscript"/>
        <sz val="10"/>
        <rFont val="Arial"/>
        <family val="2"/>
      </rPr>
      <t>t</t>
    </r>
    <r>
      <rPr>
        <sz val="10"/>
        <rFont val="Arial"/>
        <family val="0"/>
      </rPr>
      <t>=</t>
    </r>
  </si>
  <si>
    <t>Comments from Curt</t>
  </si>
  <si>
    <r>
      <t>Fert</t>
    </r>
    <r>
      <rPr>
        <i/>
        <vertAlign val="subscript"/>
        <sz val="10"/>
        <rFont val="Arial"/>
        <family val="2"/>
      </rPr>
      <t>SOSelf</t>
    </r>
  </si>
  <si>
    <r>
      <t>Fert</t>
    </r>
    <r>
      <rPr>
        <i/>
        <vertAlign val="subscript"/>
        <sz val="10"/>
        <rFont val="Arial"/>
        <family val="2"/>
      </rPr>
      <t>C</t>
    </r>
  </si>
  <si>
    <t>Initial values</t>
  </si>
  <si>
    <t>Foundation for the figure made early Jan 2003, note that candidates are 200, but I let it stay there for some time</t>
  </si>
  <si>
    <t>"Swedish" scenario for seed orchards</t>
  </si>
  <si>
    <t>Taeda DL 2003-02-04</t>
  </si>
  <si>
    <t>Dusan</t>
  </si>
  <si>
    <t>After thinning and selective harvest</t>
  </si>
  <si>
    <t>Selective harvesting</t>
  </si>
  <si>
    <t>Status number for single clone harvest</t>
  </si>
  <si>
    <t>Deployed benefit for single clone harvest</t>
  </si>
  <si>
    <r>
      <t>Clones serving as pollen source (</t>
    </r>
    <r>
      <rPr>
        <i/>
        <sz val="8"/>
        <rFont val="Arial"/>
        <family val="2"/>
      </rPr>
      <t>N</t>
    </r>
    <r>
      <rPr>
        <i/>
        <vertAlign val="subscript"/>
        <sz val="8"/>
        <rFont val="Arial"/>
        <family val="2"/>
      </rPr>
      <t>father</t>
    </r>
    <r>
      <rPr>
        <sz val="8"/>
        <rFont val="Arial"/>
        <family val="0"/>
      </rPr>
      <t>)</t>
    </r>
  </si>
  <si>
    <r>
      <t>Clones serving as seed source (</t>
    </r>
    <r>
      <rPr>
        <i/>
        <sz val="8"/>
        <rFont val="Arial"/>
        <family val="2"/>
      </rPr>
      <t>N</t>
    </r>
    <r>
      <rPr>
        <i/>
        <vertAlign val="subscript"/>
        <sz val="8"/>
        <rFont val="Arial"/>
        <family val="2"/>
      </rPr>
      <t>mother</t>
    </r>
    <r>
      <rPr>
        <sz val="8"/>
        <rFont val="Arial"/>
        <family val="0"/>
      </rPr>
      <t>)</t>
    </r>
  </si>
  <si>
    <r>
      <t>N</t>
    </r>
    <r>
      <rPr>
        <i/>
        <vertAlign val="subscript"/>
        <sz val="10"/>
        <rFont val="Arial"/>
        <family val="2"/>
      </rPr>
      <t>father</t>
    </r>
    <r>
      <rPr>
        <vertAlign val="subscript"/>
        <sz val="10"/>
        <rFont val="Arial"/>
        <family val="2"/>
      </rPr>
      <t xml:space="preserve">  </t>
    </r>
    <r>
      <rPr>
        <sz val="10"/>
        <rFont val="Arial"/>
        <family val="0"/>
      </rPr>
      <t>=</t>
    </r>
  </si>
  <si>
    <r>
      <t>N</t>
    </r>
    <r>
      <rPr>
        <i/>
        <vertAlign val="subscript"/>
        <sz val="10"/>
        <rFont val="Arial"/>
        <family val="2"/>
      </rPr>
      <t>mother</t>
    </r>
    <r>
      <rPr>
        <sz val="10"/>
        <rFont val="Arial"/>
        <family val="0"/>
      </rPr>
      <t>=</t>
    </r>
  </si>
  <si>
    <t>Coefficient of variance(%) in fertility among mother clones</t>
  </si>
  <si>
    <r>
      <t>CV</t>
    </r>
    <r>
      <rPr>
        <vertAlign val="subscript"/>
        <sz val="10"/>
        <rFont val="Arial"/>
        <family val="2"/>
      </rPr>
      <t>father</t>
    </r>
    <r>
      <rPr>
        <sz val="10"/>
        <rFont val="Arial"/>
        <family val="0"/>
      </rPr>
      <t>=</t>
    </r>
  </si>
  <si>
    <r>
      <t>CV</t>
    </r>
    <r>
      <rPr>
        <vertAlign val="subscript"/>
        <sz val="10"/>
        <rFont val="Arial"/>
        <family val="2"/>
      </rPr>
      <t>mother</t>
    </r>
    <r>
      <rPr>
        <sz val="10"/>
        <rFont val="Arial"/>
        <family val="0"/>
      </rPr>
      <t>=</t>
    </r>
  </si>
  <si>
    <r>
      <t>Y</t>
    </r>
    <r>
      <rPr>
        <i/>
        <vertAlign val="subscript"/>
        <sz val="10"/>
        <rFont val="Arial"/>
        <family val="2"/>
      </rPr>
      <t>mother</t>
    </r>
    <r>
      <rPr>
        <sz val="10"/>
        <rFont val="Arial"/>
        <family val="0"/>
      </rPr>
      <t>=</t>
    </r>
  </si>
  <si>
    <r>
      <t>Y</t>
    </r>
    <r>
      <rPr>
        <i/>
        <vertAlign val="subscript"/>
        <sz val="10"/>
        <rFont val="Arial"/>
        <family val="2"/>
      </rPr>
      <t>father =</t>
    </r>
  </si>
  <si>
    <r>
      <t>i</t>
    </r>
    <r>
      <rPr>
        <i/>
        <vertAlign val="subscript"/>
        <sz val="10"/>
        <rFont val="Arial"/>
        <family val="2"/>
      </rPr>
      <t>father</t>
    </r>
  </si>
  <si>
    <r>
      <t xml:space="preserve"> D</t>
    </r>
    <r>
      <rPr>
        <i/>
        <sz val="10"/>
        <rFont val="Times New Roman"/>
        <family val="1"/>
      </rPr>
      <t>G</t>
    </r>
    <r>
      <rPr>
        <i/>
        <vertAlign val="subscript"/>
        <sz val="10"/>
        <rFont val="Times New Roman"/>
        <family val="1"/>
      </rPr>
      <t>father</t>
    </r>
    <r>
      <rPr>
        <vertAlign val="subscript"/>
        <sz val="10"/>
        <rFont val="Times New Roman"/>
        <family val="1"/>
      </rPr>
      <t xml:space="preserve">  </t>
    </r>
    <r>
      <rPr>
        <sz val="10"/>
        <rFont val="Times New Roman"/>
        <family val="1"/>
      </rPr>
      <t xml:space="preserve">    </t>
    </r>
  </si>
  <si>
    <t xml:space="preserve"> Last edit DL 2003-02-15</t>
  </si>
  <si>
    <t>Two scenarios, Default &amp; taeda</t>
  </si>
  <si>
    <t>H</t>
  </si>
  <si>
    <t>Harvested proportion</t>
  </si>
  <si>
    <t>Orchard clonal deployer</t>
  </si>
  <si>
    <t>Reservations</t>
  </si>
  <si>
    <t>Assumptions, general for the workbook</t>
  </si>
  <si>
    <t>Get started</t>
  </si>
  <si>
    <t xml:space="preserve">Purpose </t>
  </si>
  <si>
    <t>Description</t>
  </si>
  <si>
    <t>Manual</t>
  </si>
  <si>
    <t>Downloading</t>
  </si>
  <si>
    <t>Trouble?</t>
  </si>
  <si>
    <t>Related clones</t>
  </si>
  <si>
    <t>Solver, general</t>
  </si>
  <si>
    <t>Suggestions for improvements</t>
  </si>
  <si>
    <t xml:space="preserve">Cells:  </t>
  </si>
  <si>
    <t>Internal</t>
  </si>
  <si>
    <t>Something</t>
  </si>
  <si>
    <t>Solver, specific</t>
  </si>
  <si>
    <t>Comments:</t>
  </si>
  <si>
    <t>These are values for the Rayonor study which can be removed after 030301</t>
  </si>
  <si>
    <t xml:space="preserve">Inbreeding depression </t>
  </si>
  <si>
    <t>Trunc sel</t>
  </si>
  <si>
    <t>Linear depl</t>
  </si>
  <si>
    <t>Selective Harvest</t>
  </si>
  <si>
    <t>Selective harvest</t>
  </si>
  <si>
    <t>Integer routine</t>
  </si>
  <si>
    <t>Suggested proportions of clones, different suggestions</t>
  </si>
  <si>
    <t>Identifications</t>
  </si>
  <si>
    <t>Solver solutions</t>
  </si>
  <si>
    <t>Harvested fraction of cones</t>
  </si>
  <si>
    <t>Best prop</t>
  </si>
  <si>
    <t>Corresponding ramet number</t>
  </si>
  <si>
    <t>Linear deployment corresponding to the integer solution</t>
  </si>
  <si>
    <t>Equal proportions, top breeding value clones</t>
  </si>
  <si>
    <t>Linear deployment</t>
  </si>
  <si>
    <t>Clone</t>
  </si>
  <si>
    <t>Mother</t>
  </si>
  <si>
    <t>Father</t>
  </si>
  <si>
    <t>Breed val</t>
  </si>
  <si>
    <t>Proportions corresponding to the integers</t>
  </si>
  <si>
    <t>20; 75</t>
  </si>
  <si>
    <t>6.55; 75</t>
  </si>
  <si>
    <t>OP</t>
  </si>
  <si>
    <t xml:space="preserve">Breeding value </t>
  </si>
  <si>
    <t xml:space="preserve">Breeding value - inbreeding depression  </t>
  </si>
  <si>
    <t xml:space="preserve">Status number of clones  </t>
  </si>
  <si>
    <t xml:space="preserve">Contribution to cross-coancestry  </t>
  </si>
  <si>
    <t xml:space="preserve">Contribution to selfcoancestry  </t>
  </si>
  <si>
    <t xml:space="preserve">Effective number of clones  </t>
  </si>
  <si>
    <t xml:space="preserve">Sum of proportion of all clones   </t>
  </si>
  <si>
    <t xml:space="preserve">Contribution to crosscoancestry:  </t>
  </si>
  <si>
    <t xml:space="preserve"> Excel sheets on the Tree Breeding Tools WEB site</t>
  </si>
  <si>
    <t>Contamination</t>
  </si>
  <si>
    <r>
      <t>B</t>
    </r>
    <r>
      <rPr>
        <i/>
        <vertAlign val="subscript"/>
        <sz val="10"/>
        <rFont val="Arial"/>
        <family val="2"/>
      </rPr>
      <t>GD</t>
    </r>
  </si>
  <si>
    <r>
      <t>B</t>
    </r>
    <r>
      <rPr>
        <i/>
        <vertAlign val="subscript"/>
        <sz val="10"/>
        <rFont val="Arial"/>
        <family val="2"/>
      </rPr>
      <t>G</t>
    </r>
  </si>
  <si>
    <r>
      <t>G</t>
    </r>
    <r>
      <rPr>
        <i/>
        <vertAlign val="subscript"/>
        <sz val="10"/>
        <rFont val="Arial"/>
        <family val="2"/>
      </rPr>
      <t>C</t>
    </r>
    <r>
      <rPr>
        <i/>
        <sz val="10"/>
        <rFont val="Arial"/>
        <family val="2"/>
      </rPr>
      <t xml:space="preserve"> </t>
    </r>
  </si>
  <si>
    <t xml:space="preserve">Self fert </t>
  </si>
  <si>
    <t>Benefit - gene diversity</t>
  </si>
  <si>
    <t>Benefit - gain</t>
  </si>
  <si>
    <t>Selfprod</t>
  </si>
  <si>
    <t>Relatedness coancestry matrix for a family</t>
  </si>
  <si>
    <t>Cum. Sum</t>
  </si>
  <si>
    <t>Initial</t>
  </si>
  <si>
    <t>Sel harv</t>
  </si>
  <si>
    <t>Average</t>
  </si>
  <si>
    <t>Clonal proportions</t>
  </si>
  <si>
    <t>New data</t>
  </si>
  <si>
    <t>Hidden parts</t>
  </si>
  <si>
    <t>Kyu-Suk Kang and Dag Lindgren, last edited by DL 2003-02-15</t>
  </si>
  <si>
    <t>Initial seed orchard consisting of 100 unrelated clones</t>
  </si>
  <si>
    <t>Intro</t>
  </si>
  <si>
    <t>Operation</t>
  </si>
  <si>
    <t>Info</t>
  </si>
  <si>
    <t>Dag Lindgren, last edited by DL 2003-03-20</t>
  </si>
  <si>
    <t>Sheet</t>
  </si>
  <si>
    <t xml:space="preserve">Clones which serve as pollen source  </t>
  </si>
  <si>
    <t xml:space="preserve"> Last edit DL 2003-03-28</t>
  </si>
  <si>
    <t>Last edit DL 03-09-23</t>
  </si>
  <si>
    <r>
      <t xml:space="preserve">share of alien pollen </t>
    </r>
    <r>
      <rPr>
        <sz val="9"/>
        <rFont val="Arial"/>
        <family val="2"/>
      </rPr>
      <t>(M)</t>
    </r>
    <r>
      <rPr>
        <i/>
        <sz val="9"/>
        <rFont val="Arial"/>
        <family val="2"/>
      </rPr>
      <t xml:space="preserve"> </t>
    </r>
    <r>
      <rPr>
        <sz val="9"/>
        <rFont val="Arial"/>
        <family val="2"/>
      </rPr>
      <t>=</t>
    </r>
  </si>
</sst>
</file>

<file path=xl/styles.xml><?xml version="1.0" encoding="utf-8"?>
<styleSheet xmlns="http://schemas.openxmlformats.org/spreadsheetml/2006/main">
  <numFmts count="6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0"/>
    <numFmt numFmtId="182" formatCode="0.0"/>
    <numFmt numFmtId="183" formatCode="mm/dd/yy"/>
    <numFmt numFmtId="184" formatCode="mmmm\ d\,\ yyyy"/>
    <numFmt numFmtId="185" formatCode="d/mmm/yy"/>
    <numFmt numFmtId="186" formatCode="0E+00"/>
    <numFmt numFmtId="187" formatCode="0.0000000"/>
    <numFmt numFmtId="188" formatCode="0.000000"/>
    <numFmt numFmtId="189" formatCode="0.00000"/>
    <numFmt numFmtId="190" formatCode="_-* #,##0.000\ _k_r_-;\-* #,##0.000\ _k_r_-;_-* &quot;-&quot;??\ _k_r_-;_-@_-"/>
    <numFmt numFmtId="191" formatCode="#&quot; &quot;?/8"/>
    <numFmt numFmtId="192" formatCode="00000"/>
    <numFmt numFmtId="193" formatCode="#&quot; &quot;??/100"/>
    <numFmt numFmtId="194" formatCode="#&quot; &quot;?/10"/>
    <numFmt numFmtId="195" formatCode="#&quot; &quot;?/4"/>
    <numFmt numFmtId="196" formatCode="#&quot; &quot;?/2"/>
    <numFmt numFmtId="197" formatCode="#,##0.00\ _k_r"/>
    <numFmt numFmtId="198" formatCode="&quot;Yes&quot;;&quot;Yes&quot;;&quot;No&quot;"/>
    <numFmt numFmtId="199" formatCode="&quot;True&quot;;&quot;True&quot;;&quot;False&quot;"/>
    <numFmt numFmtId="200" formatCode="&quot;On&quot;;&quot;On&quot;;&quot;Off&quot;"/>
    <numFmt numFmtId="201" formatCode=".0000"/>
    <numFmt numFmtId="202" formatCode=".000"/>
    <numFmt numFmtId="203" formatCode="#,##0&quot; kr&quot;_);\(#,##0&quot; kr&quot;\)"/>
    <numFmt numFmtId="204" formatCode="#,##0&quot; kr&quot;_);[Red]\(#,##0&quot; kr&quot;\)"/>
    <numFmt numFmtId="205" formatCode="#,##0.00&quot; kr&quot;_);\(#,##0.00&quot; kr&quot;\)"/>
    <numFmt numFmtId="206" formatCode="#,##0.00&quot; kr&quot;_);[Red]\(#,##0.00&quot; kr&quot;\)"/>
    <numFmt numFmtId="207" formatCode="yyyy\-mm\-dd"/>
    <numFmt numFmtId="208" formatCode="h\.mm\ AM/PM"/>
    <numFmt numFmtId="209" formatCode="h\.mm\.ss\ AM/PM"/>
    <numFmt numFmtId="210" formatCode="hh\.mm"/>
    <numFmt numFmtId="211" formatCode="hh\.mm\.ss"/>
    <numFmt numFmtId="212" formatCode="yyyy\-mm\-dd\ hh\.mm"/>
    <numFmt numFmtId="213" formatCode="0.0E+00;\쿐"/>
    <numFmt numFmtId="214" formatCode="0E+00;\쿐"/>
    <numFmt numFmtId="215" formatCode="0.00E+00;\쿐"/>
  </numFmts>
  <fonts count="118">
    <font>
      <sz val="10"/>
      <name val="Arial"/>
      <family val="0"/>
    </font>
    <font>
      <b/>
      <sz val="10"/>
      <name val="Arial"/>
      <family val="0"/>
    </font>
    <font>
      <i/>
      <sz val="10"/>
      <name val="Arial"/>
      <family val="0"/>
    </font>
    <font>
      <b/>
      <i/>
      <sz val="10"/>
      <name val="Arial"/>
      <family val="0"/>
    </font>
    <font>
      <sz val="8"/>
      <name val="Arial"/>
      <family val="2"/>
    </font>
    <font>
      <sz val="8"/>
      <name val="Symbol"/>
      <family val="1"/>
    </font>
    <font>
      <sz val="8"/>
      <color indexed="12"/>
      <name val="Arial"/>
      <family val="2"/>
    </font>
    <font>
      <sz val="8"/>
      <color indexed="8"/>
      <name val="Arial"/>
      <family val="2"/>
    </font>
    <font>
      <b/>
      <sz val="10"/>
      <color indexed="10"/>
      <name val="Arial"/>
      <family val="0"/>
    </font>
    <font>
      <b/>
      <sz val="10"/>
      <color indexed="12"/>
      <name val="Arial"/>
      <family val="2"/>
    </font>
    <font>
      <b/>
      <sz val="16"/>
      <color indexed="14"/>
      <name val="Arial"/>
      <family val="2"/>
    </font>
    <font>
      <sz val="10"/>
      <color indexed="19"/>
      <name val="Arial"/>
      <family val="2"/>
    </font>
    <font>
      <b/>
      <sz val="14"/>
      <color indexed="14"/>
      <name val="Arial"/>
      <family val="2"/>
    </font>
    <font>
      <b/>
      <sz val="12"/>
      <color indexed="14"/>
      <name val="Arial"/>
      <family val="2"/>
    </font>
    <font>
      <sz val="10"/>
      <color indexed="8"/>
      <name val="Arial"/>
      <family val="2"/>
    </font>
    <font>
      <b/>
      <sz val="10"/>
      <color indexed="14"/>
      <name val="Arial"/>
      <family val="0"/>
    </font>
    <font>
      <b/>
      <sz val="9"/>
      <color indexed="14"/>
      <name val="Arial"/>
      <family val="2"/>
    </font>
    <font>
      <sz val="10"/>
      <color indexed="12"/>
      <name val="Arial"/>
      <family val="2"/>
    </font>
    <font>
      <i/>
      <sz val="8"/>
      <name val="Arial"/>
      <family val="0"/>
    </font>
    <font>
      <vertAlign val="superscript"/>
      <sz val="8"/>
      <name val="Arial"/>
      <family val="2"/>
    </font>
    <font>
      <b/>
      <i/>
      <sz val="10"/>
      <color indexed="10"/>
      <name val="Arial"/>
      <family val="2"/>
    </font>
    <font>
      <b/>
      <i/>
      <sz val="10"/>
      <color indexed="12"/>
      <name val="Arial"/>
      <family val="2"/>
    </font>
    <font>
      <i/>
      <sz val="10"/>
      <color indexed="12"/>
      <name val="Arial"/>
      <family val="2"/>
    </font>
    <font>
      <i/>
      <sz val="8"/>
      <color indexed="12"/>
      <name val="Arial"/>
      <family val="2"/>
    </font>
    <font>
      <vertAlign val="subscript"/>
      <sz val="10"/>
      <name val="Arial"/>
      <family val="2"/>
    </font>
    <font>
      <sz val="8"/>
      <name val="Tahoma"/>
      <family val="2"/>
    </font>
    <font>
      <sz val="8"/>
      <color indexed="20"/>
      <name val="Arial"/>
      <family val="2"/>
    </font>
    <font>
      <b/>
      <sz val="8"/>
      <name val="Tahoma"/>
      <family val="0"/>
    </font>
    <font>
      <vertAlign val="superscript"/>
      <sz val="10"/>
      <name val="Arial"/>
      <family val="2"/>
    </font>
    <font>
      <i/>
      <sz val="8"/>
      <name val="Tahoma"/>
      <family val="2"/>
    </font>
    <font>
      <sz val="10"/>
      <name val="Symbol"/>
      <family val="1"/>
    </font>
    <font>
      <sz val="10"/>
      <color indexed="14"/>
      <name val="Arial"/>
      <family val="2"/>
    </font>
    <font>
      <i/>
      <sz val="10"/>
      <color indexed="8"/>
      <name val="Arial"/>
      <family val="2"/>
    </font>
    <font>
      <i/>
      <vertAlign val="subscript"/>
      <sz val="10"/>
      <name val="Arial"/>
      <family val="2"/>
    </font>
    <font>
      <sz val="9"/>
      <color indexed="12"/>
      <name val="Arial"/>
      <family val="2"/>
    </font>
    <font>
      <b/>
      <sz val="10"/>
      <color indexed="8"/>
      <name val="Arial"/>
      <family val="2"/>
    </font>
    <font>
      <sz val="8"/>
      <color indexed="10"/>
      <name val="Tahoma"/>
      <family val="2"/>
    </font>
    <font>
      <sz val="8"/>
      <color indexed="12"/>
      <name val="Tahoma"/>
      <family val="2"/>
    </font>
    <font>
      <sz val="9"/>
      <name val="Arial"/>
      <family val="2"/>
    </font>
    <font>
      <sz val="8"/>
      <color indexed="8"/>
      <name val="Tahoma"/>
      <family val="2"/>
    </font>
    <font>
      <i/>
      <vertAlign val="superscript"/>
      <sz val="10"/>
      <name val="Arial"/>
      <family val="2"/>
    </font>
    <font>
      <b/>
      <sz val="10"/>
      <color indexed="57"/>
      <name val="Arial"/>
      <family val="2"/>
    </font>
    <font>
      <b/>
      <vertAlign val="subscript"/>
      <sz val="10"/>
      <color indexed="57"/>
      <name val="Arial"/>
      <family val="2"/>
    </font>
    <font>
      <b/>
      <i/>
      <sz val="8"/>
      <name val="Tahoma"/>
      <family val="2"/>
    </font>
    <font>
      <b/>
      <sz val="9"/>
      <name val="Arial"/>
      <family val="2"/>
    </font>
    <font>
      <vertAlign val="subscript"/>
      <sz val="9"/>
      <name val="Arial"/>
      <family val="2"/>
    </font>
    <font>
      <i/>
      <vertAlign val="subscript"/>
      <sz val="9"/>
      <name val="Arial"/>
      <family val="2"/>
    </font>
    <font>
      <i/>
      <vertAlign val="subscript"/>
      <sz val="8"/>
      <name val="Arial"/>
      <family val="2"/>
    </font>
    <font>
      <sz val="9"/>
      <name val="Symbol"/>
      <family val="1"/>
    </font>
    <font>
      <vertAlign val="subscript"/>
      <sz val="9"/>
      <name val="Symbol"/>
      <family val="1"/>
    </font>
    <font>
      <i/>
      <sz val="9"/>
      <name val="Arial"/>
      <family val="2"/>
    </font>
    <font>
      <vertAlign val="superscript"/>
      <sz val="9"/>
      <name val="Arial"/>
      <family val="2"/>
    </font>
    <font>
      <b/>
      <sz val="15"/>
      <color indexed="14"/>
      <name val="Arial"/>
      <family val="2"/>
    </font>
    <font>
      <i/>
      <vertAlign val="superscript"/>
      <sz val="8"/>
      <name val="Arial"/>
      <family val="2"/>
    </font>
    <font>
      <b/>
      <sz val="10.25"/>
      <name val="Arial"/>
      <family val="2"/>
    </font>
    <font>
      <sz val="9.25"/>
      <name val="Arial"/>
      <family val="2"/>
    </font>
    <font>
      <sz val="8"/>
      <color indexed="14"/>
      <name val="Tahoma"/>
      <family val="2"/>
    </font>
    <font>
      <i/>
      <vertAlign val="subscript"/>
      <sz val="10"/>
      <color indexed="8"/>
      <name val="Arial"/>
      <family val="2"/>
    </font>
    <font>
      <vertAlign val="superscript"/>
      <sz val="10"/>
      <color indexed="8"/>
      <name val="Arial"/>
      <family val="2"/>
    </font>
    <font>
      <i/>
      <vertAlign val="superscript"/>
      <sz val="10"/>
      <color indexed="8"/>
      <name val="Arial"/>
      <family val="2"/>
    </font>
    <font>
      <b/>
      <sz val="8"/>
      <name val="Arial"/>
      <family val="2"/>
    </font>
    <font>
      <b/>
      <sz val="9"/>
      <color indexed="13"/>
      <name val="Arial"/>
      <family val="2"/>
    </font>
    <font>
      <b/>
      <sz val="8"/>
      <color indexed="10"/>
      <name val="Arial"/>
      <family val="2"/>
    </font>
    <font>
      <b/>
      <sz val="8"/>
      <color indexed="12"/>
      <name val="Arial"/>
      <family val="2"/>
    </font>
    <font>
      <b/>
      <sz val="8"/>
      <color indexed="10"/>
      <name val="Tahoma"/>
      <family val="2"/>
    </font>
    <font>
      <b/>
      <i/>
      <sz val="8"/>
      <color indexed="10"/>
      <name val="Tahoma"/>
      <family val="2"/>
    </font>
    <font>
      <b/>
      <sz val="8"/>
      <color indexed="12"/>
      <name val="Tahoma"/>
      <family val="2"/>
    </font>
    <font>
      <b/>
      <sz val="8"/>
      <color indexed="40"/>
      <name val="Tahoma"/>
      <family val="2"/>
    </font>
    <font>
      <sz val="8"/>
      <color indexed="40"/>
      <name val="Tahoma"/>
      <family val="2"/>
    </font>
    <font>
      <b/>
      <sz val="14"/>
      <color indexed="57"/>
      <name val="Tahoma"/>
      <family val="2"/>
    </font>
    <font>
      <b/>
      <sz val="12"/>
      <color indexed="10"/>
      <name val="Arial"/>
      <family val="2"/>
    </font>
    <font>
      <sz val="10"/>
      <color indexed="48"/>
      <name val="Arial"/>
      <family val="2"/>
    </font>
    <font>
      <b/>
      <sz val="10"/>
      <color indexed="48"/>
      <name val="Arial"/>
      <family val="2"/>
    </font>
    <font>
      <b/>
      <sz val="10"/>
      <name val="Tahoma"/>
      <family val="2"/>
    </font>
    <font>
      <b/>
      <sz val="12"/>
      <color indexed="12"/>
      <name val="Arial"/>
      <family val="2"/>
    </font>
    <font>
      <b/>
      <sz val="10"/>
      <color indexed="14"/>
      <name val="Tahoma"/>
      <family val="2"/>
    </font>
    <font>
      <b/>
      <i/>
      <sz val="10"/>
      <color indexed="59"/>
      <name val="Arial"/>
      <family val="2"/>
    </font>
    <font>
      <b/>
      <i/>
      <sz val="10"/>
      <color indexed="19"/>
      <name val="Arial"/>
      <family val="2"/>
    </font>
    <font>
      <b/>
      <sz val="8"/>
      <color indexed="59"/>
      <name val="Tahoma"/>
      <family val="2"/>
    </font>
    <font>
      <u val="single"/>
      <sz val="10"/>
      <color indexed="14"/>
      <name val="Arial"/>
      <family val="2"/>
    </font>
    <font>
      <i/>
      <u val="single"/>
      <sz val="10"/>
      <color indexed="14"/>
      <name val="Arial"/>
      <family val="2"/>
    </font>
    <font>
      <sz val="8"/>
      <color indexed="59"/>
      <name val="Tahoma"/>
      <family val="2"/>
    </font>
    <font>
      <u val="single"/>
      <sz val="10"/>
      <color indexed="12"/>
      <name val="Arial"/>
      <family val="0"/>
    </font>
    <font>
      <u val="single"/>
      <sz val="10"/>
      <color indexed="36"/>
      <name val="Arial"/>
      <family val="0"/>
    </font>
    <font>
      <i/>
      <sz val="12"/>
      <name val="Symbol"/>
      <family val="1"/>
    </font>
    <font>
      <b/>
      <sz val="8"/>
      <color indexed="57"/>
      <name val="Tahoma"/>
      <family val="2"/>
    </font>
    <font>
      <b/>
      <sz val="8"/>
      <color indexed="17"/>
      <name val="Tahoma"/>
      <family val="2"/>
    </font>
    <font>
      <i/>
      <sz val="10"/>
      <name val="Symbol"/>
      <family val="1"/>
    </font>
    <font>
      <i/>
      <sz val="10"/>
      <name val="Times New Roman"/>
      <family val="1"/>
    </font>
    <font>
      <sz val="10"/>
      <name val="Times New Roman"/>
      <family val="1"/>
    </font>
    <font>
      <sz val="8"/>
      <color indexed="17"/>
      <name val="Tahoma"/>
      <family val="2"/>
    </font>
    <font>
      <i/>
      <sz val="10"/>
      <color indexed="10"/>
      <name val="Arial"/>
      <family val="2"/>
    </font>
    <font>
      <b/>
      <sz val="12"/>
      <name val="Arial"/>
      <family val="2"/>
    </font>
    <font>
      <sz val="12"/>
      <name val="Arial"/>
      <family val="0"/>
    </font>
    <font>
      <b/>
      <sz val="10"/>
      <color indexed="49"/>
      <name val="Tahoma"/>
      <family val="2"/>
    </font>
    <font>
      <b/>
      <sz val="14"/>
      <name val="Arial"/>
      <family val="2"/>
    </font>
    <font>
      <sz val="10"/>
      <color indexed="22"/>
      <name val="Arial"/>
      <family val="2"/>
    </font>
    <font>
      <i/>
      <vertAlign val="subscript"/>
      <sz val="10"/>
      <name val="Times New Roman"/>
      <family val="1"/>
    </font>
    <font>
      <vertAlign val="subscript"/>
      <sz val="10"/>
      <name val="Times New Roman"/>
      <family val="1"/>
    </font>
    <font>
      <sz val="10"/>
      <name val="MS Sans Serif"/>
      <family val="0"/>
    </font>
    <font>
      <b/>
      <sz val="20"/>
      <color indexed="8"/>
      <name val="Arial"/>
      <family val="2"/>
    </font>
    <font>
      <b/>
      <sz val="16"/>
      <color indexed="8"/>
      <name val="Arial"/>
      <family val="2"/>
    </font>
    <font>
      <sz val="10"/>
      <color indexed="9"/>
      <name val="Arial"/>
      <family val="2"/>
    </font>
    <font>
      <sz val="10"/>
      <color indexed="12"/>
      <name val="MS Sans Serif"/>
      <family val="2"/>
    </font>
    <font>
      <sz val="10"/>
      <color indexed="22"/>
      <name val="MS Sans Serif"/>
      <family val="2"/>
    </font>
    <font>
      <sz val="10"/>
      <color indexed="55"/>
      <name val="Arial"/>
      <family val="2"/>
    </font>
    <font>
      <b/>
      <sz val="8"/>
      <color indexed="14"/>
      <name val="Tahoma"/>
      <family val="2"/>
    </font>
    <font>
      <sz val="8"/>
      <color indexed="23"/>
      <name val="Tahoma"/>
      <family val="2"/>
    </font>
    <font>
      <b/>
      <sz val="10"/>
      <color indexed="50"/>
      <name val="Tahoma"/>
      <family val="2"/>
    </font>
    <font>
      <b/>
      <sz val="8"/>
      <color indexed="50"/>
      <name val="Tahoma"/>
      <family val="2"/>
    </font>
    <font>
      <b/>
      <sz val="10"/>
      <color indexed="57"/>
      <name val="Tahoma"/>
      <family val="2"/>
    </font>
    <font>
      <sz val="10"/>
      <color indexed="49"/>
      <name val="Tahoma"/>
      <family val="2"/>
    </font>
    <font>
      <sz val="10"/>
      <color indexed="57"/>
      <name val="Tahoma"/>
      <family val="2"/>
    </font>
    <font>
      <b/>
      <sz val="10"/>
      <color indexed="17"/>
      <name val="Tahoma"/>
      <family val="2"/>
    </font>
    <font>
      <b/>
      <i/>
      <u val="single"/>
      <sz val="12"/>
      <color indexed="14"/>
      <name val="Arial"/>
      <family val="2"/>
    </font>
    <font>
      <b/>
      <i/>
      <u val="single"/>
      <sz val="10"/>
      <color indexed="14"/>
      <name val="Arial"/>
      <family val="2"/>
    </font>
    <font>
      <b/>
      <sz val="8"/>
      <color indexed="8"/>
      <name val="Tahoma"/>
      <family val="2"/>
    </font>
    <font>
      <b/>
      <u val="single"/>
      <sz val="8"/>
      <color indexed="14"/>
      <name val="Tahoma"/>
      <family val="2"/>
    </font>
  </fonts>
  <fills count="15">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indexed="21"/>
        <bgColor indexed="64"/>
      </patternFill>
    </fill>
    <fill>
      <patternFill patternType="solid">
        <fgColor indexed="47"/>
        <bgColor indexed="64"/>
      </patternFill>
    </fill>
    <fill>
      <patternFill patternType="solid">
        <fgColor indexed="15"/>
        <bgColor indexed="64"/>
      </patternFill>
    </fill>
    <fill>
      <patternFill patternType="solid">
        <fgColor indexed="43"/>
        <bgColor indexed="64"/>
      </patternFill>
    </fill>
    <fill>
      <patternFill patternType="solid">
        <fgColor indexed="41"/>
        <bgColor indexed="64"/>
      </patternFill>
    </fill>
    <fill>
      <patternFill patternType="solid">
        <fgColor indexed="23"/>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48"/>
        <bgColor indexed="64"/>
      </patternFill>
    </fill>
  </fills>
  <borders count="37">
    <border>
      <left/>
      <right/>
      <top/>
      <bottom/>
      <diagonal/>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thin"/>
      <right>
        <color indexed="63"/>
      </right>
      <top>
        <color indexed="63"/>
      </top>
      <bottom>
        <color indexed="63"/>
      </bottom>
    </border>
    <border>
      <left>
        <color indexed="63"/>
      </left>
      <right>
        <color indexed="63"/>
      </right>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style="medium"/>
    </border>
    <border>
      <left>
        <color indexed="63"/>
      </left>
      <right style="thin"/>
      <top style="thin"/>
      <bottom style="medium"/>
    </border>
    <border>
      <left>
        <color indexed="63"/>
      </left>
      <right style="thin"/>
      <top style="thin"/>
      <bottom>
        <color indexed="63"/>
      </bottom>
    </border>
    <border>
      <left style="thin"/>
      <right>
        <color indexed="63"/>
      </right>
      <top style="thin"/>
      <bottom style="thin"/>
    </border>
    <border>
      <left style="thin"/>
      <right>
        <color indexed="63"/>
      </right>
      <top style="thick">
        <color indexed="24"/>
      </top>
      <bottom>
        <color indexed="63"/>
      </bottom>
    </border>
    <border>
      <left>
        <color indexed="63"/>
      </left>
      <right>
        <color indexed="63"/>
      </right>
      <top style="thick">
        <color indexed="24"/>
      </top>
      <bottom>
        <color indexed="63"/>
      </bottom>
    </border>
    <border>
      <left>
        <color indexed="63"/>
      </left>
      <right style="thick">
        <color indexed="24"/>
      </right>
      <top style="thick">
        <color indexed="24"/>
      </top>
      <bottom>
        <color indexed="63"/>
      </bottom>
    </border>
    <border>
      <left style="thin"/>
      <right>
        <color indexed="63"/>
      </right>
      <top>
        <color indexed="63"/>
      </top>
      <bottom style="thick">
        <color indexed="24"/>
      </bottom>
    </border>
    <border>
      <left>
        <color indexed="63"/>
      </left>
      <right>
        <color indexed="63"/>
      </right>
      <top>
        <color indexed="63"/>
      </top>
      <bottom style="thick">
        <color indexed="24"/>
      </bottom>
    </border>
    <border>
      <left>
        <color indexed="63"/>
      </left>
      <right style="thick">
        <color indexed="24"/>
      </right>
      <top>
        <color indexed="63"/>
      </top>
      <bottom style="thick">
        <color indexed="24"/>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style="thick">
        <color indexed="16"/>
      </left>
      <right>
        <color indexed="63"/>
      </right>
      <top style="thick">
        <color indexed="16"/>
      </top>
      <bottom>
        <color indexed="63"/>
      </bottom>
    </border>
    <border>
      <left>
        <color indexed="63"/>
      </left>
      <right>
        <color indexed="63"/>
      </right>
      <top style="thick">
        <color indexed="16"/>
      </top>
      <bottom>
        <color indexed="63"/>
      </bottom>
    </border>
    <border>
      <left style="thin"/>
      <right style="thin"/>
      <top style="thin"/>
      <bottom style="thin"/>
    </border>
    <border>
      <left style="medium">
        <color indexed="50"/>
      </left>
      <right style="medium">
        <color indexed="50"/>
      </right>
      <top style="medium">
        <color indexed="50"/>
      </top>
      <bottom style="medium">
        <color indexed="50"/>
      </bottom>
    </border>
    <border>
      <left style="medium">
        <color indexed="14"/>
      </left>
      <right style="medium">
        <color indexed="14"/>
      </right>
      <top style="medium">
        <color indexed="14"/>
      </top>
      <bottom style="medium">
        <color indexed="14"/>
      </bottom>
    </border>
    <border>
      <left style="medium"/>
      <right style="medium"/>
      <top style="medium"/>
      <bottom style="medium"/>
    </border>
    <border>
      <left style="medium"/>
      <right>
        <color indexed="63"/>
      </right>
      <top style="thin"/>
      <bottom>
        <color indexed="63"/>
      </bottom>
    </border>
    <border>
      <left style="thick">
        <color indexed="24"/>
      </left>
      <right style="thin"/>
      <top style="thick">
        <color indexed="24"/>
      </top>
      <bottom>
        <color indexed="63"/>
      </bottom>
    </border>
    <border>
      <left style="thick">
        <color indexed="24"/>
      </left>
      <right style="thin"/>
      <top>
        <color indexed="63"/>
      </top>
      <bottom style="thick">
        <color indexed="24"/>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99" fillId="0" borderId="0">
      <alignment/>
      <protection/>
    </xf>
    <xf numFmtId="9" fontId="0" fillId="0" borderId="0" applyFont="0" applyFill="0" applyBorder="0" applyAlignment="0" applyProtection="0"/>
  </cellStyleXfs>
  <cellXfs count="487">
    <xf numFmtId="0" fontId="0" fillId="0" borderId="0" xfId="0" applyAlignment="1">
      <alignment/>
    </xf>
    <xf numFmtId="0" fontId="4" fillId="0" borderId="0" xfId="0" applyFont="1" applyAlignment="1">
      <alignment/>
    </xf>
    <xf numFmtId="0" fontId="6" fillId="0" borderId="0" xfId="0" applyFont="1" applyAlignment="1">
      <alignment/>
    </xf>
    <xf numFmtId="0" fontId="5" fillId="0" borderId="0" xfId="0" applyFont="1" applyAlignment="1">
      <alignment horizontal="right"/>
    </xf>
    <xf numFmtId="0" fontId="7" fillId="0" borderId="0" xfId="0" applyFont="1" applyAlignment="1">
      <alignment/>
    </xf>
    <xf numFmtId="0" fontId="4" fillId="0" borderId="0" xfId="0" applyFont="1" applyAlignment="1">
      <alignment horizontal="left"/>
    </xf>
    <xf numFmtId="0" fontId="8" fillId="2" borderId="0" xfId="0" applyFont="1" applyFill="1" applyAlignment="1">
      <alignment/>
    </xf>
    <xf numFmtId="0" fontId="7" fillId="0" borderId="0" xfId="0" applyFont="1" applyFill="1" applyAlignment="1">
      <alignment/>
    </xf>
    <xf numFmtId="0" fontId="10" fillId="0" borderId="0" xfId="0" applyFont="1" applyFill="1" applyAlignment="1">
      <alignment vertical="top"/>
    </xf>
    <xf numFmtId="0" fontId="4" fillId="0" borderId="0" xfId="0" applyFont="1" applyAlignment="1">
      <alignment vertical="top"/>
    </xf>
    <xf numFmtId="0" fontId="0" fillId="0" borderId="0" xfId="0" applyAlignment="1">
      <alignment vertical="top"/>
    </xf>
    <xf numFmtId="0" fontId="11" fillId="0" borderId="0" xfId="0" applyFont="1" applyAlignment="1">
      <alignment/>
    </xf>
    <xf numFmtId="0" fontId="15" fillId="0" borderId="0" xfId="0" applyFont="1" applyAlignment="1">
      <alignment/>
    </xf>
    <xf numFmtId="0" fontId="4" fillId="0" borderId="0" xfId="0" applyFont="1" applyBorder="1" applyAlignment="1">
      <alignment/>
    </xf>
    <xf numFmtId="0" fontId="4" fillId="0" borderId="0" xfId="0" applyFont="1" applyAlignment="1">
      <alignment/>
    </xf>
    <xf numFmtId="0" fontId="16" fillId="0" borderId="0" xfId="0" applyFont="1" applyAlignment="1">
      <alignment/>
    </xf>
    <xf numFmtId="0" fontId="17" fillId="0" borderId="0" xfId="0" applyFont="1" applyAlignment="1">
      <alignment/>
    </xf>
    <xf numFmtId="0" fontId="1" fillId="0" borderId="0" xfId="0" applyFont="1" applyAlignment="1">
      <alignment/>
    </xf>
    <xf numFmtId="0" fontId="6" fillId="0" borderId="0" xfId="0" applyFont="1" applyAlignment="1">
      <alignment/>
    </xf>
    <xf numFmtId="180" fontId="18" fillId="0" borderId="0" xfId="0" applyNumberFormat="1" applyFont="1" applyAlignment="1">
      <alignment/>
    </xf>
    <xf numFmtId="0" fontId="16" fillId="0" borderId="1" xfId="0" applyFont="1" applyBorder="1" applyAlignment="1">
      <alignment/>
    </xf>
    <xf numFmtId="0" fontId="4" fillId="0" borderId="1" xfId="0" applyFont="1" applyBorder="1" applyAlignment="1">
      <alignment/>
    </xf>
    <xf numFmtId="0" fontId="18" fillId="0" borderId="0" xfId="0" applyFont="1" applyAlignment="1">
      <alignment horizontal="right"/>
    </xf>
    <xf numFmtId="0" fontId="0" fillId="0" borderId="0" xfId="0" applyAlignment="1">
      <alignment horizontal="right"/>
    </xf>
    <xf numFmtId="0" fontId="18" fillId="0" borderId="0" xfId="0" applyFont="1" applyAlignment="1">
      <alignment/>
    </xf>
    <xf numFmtId="182" fontId="9" fillId="2" borderId="1" xfId="0" applyNumberFormat="1" applyFont="1" applyFill="1" applyBorder="1" applyAlignment="1">
      <alignment/>
    </xf>
    <xf numFmtId="180" fontId="21" fillId="2" borderId="1" xfId="0" applyNumberFormat="1" applyFont="1" applyFill="1" applyBorder="1" applyAlignment="1">
      <alignment/>
    </xf>
    <xf numFmtId="182" fontId="9" fillId="2" borderId="0" xfId="0" applyNumberFormat="1" applyFont="1" applyFill="1" applyAlignment="1">
      <alignment/>
    </xf>
    <xf numFmtId="180" fontId="21" fillId="2" borderId="0" xfId="0" applyNumberFormat="1" applyFont="1" applyFill="1" applyAlignment="1">
      <alignment/>
    </xf>
    <xf numFmtId="182" fontId="17" fillId="0" borderId="0" xfId="0" applyNumberFormat="1" applyFont="1" applyFill="1" applyAlignment="1">
      <alignment/>
    </xf>
    <xf numFmtId="180" fontId="22" fillId="0" borderId="0" xfId="0" applyNumberFormat="1" applyFont="1" applyFill="1" applyAlignment="1">
      <alignment/>
    </xf>
    <xf numFmtId="180" fontId="23" fillId="0" borderId="0" xfId="0" applyNumberFormat="1" applyFont="1" applyFill="1" applyAlignment="1">
      <alignment/>
    </xf>
    <xf numFmtId="0" fontId="22" fillId="0" borderId="0" xfId="0" applyFont="1" applyFill="1" applyAlignment="1">
      <alignment/>
    </xf>
    <xf numFmtId="180" fontId="21" fillId="0" borderId="0" xfId="0" applyNumberFormat="1" applyFont="1" applyFill="1" applyAlignment="1">
      <alignment/>
    </xf>
    <xf numFmtId="0" fontId="23" fillId="0" borderId="0" xfId="0" applyFont="1" applyAlignment="1">
      <alignment/>
    </xf>
    <xf numFmtId="0" fontId="2" fillId="0" borderId="0" xfId="0" applyFont="1" applyAlignment="1">
      <alignment horizontal="right"/>
    </xf>
    <xf numFmtId="0" fontId="16" fillId="0" borderId="0" xfId="0" applyFont="1" applyBorder="1" applyAlignment="1">
      <alignment/>
    </xf>
    <xf numFmtId="0" fontId="4" fillId="0" borderId="0" xfId="0" applyFont="1" applyBorder="1" applyAlignment="1">
      <alignment/>
    </xf>
    <xf numFmtId="182" fontId="17" fillId="0" borderId="0" xfId="0" applyNumberFormat="1" applyFont="1" applyFill="1" applyBorder="1" applyAlignment="1">
      <alignment/>
    </xf>
    <xf numFmtId="180" fontId="23" fillId="0" borderId="0" xfId="0" applyNumberFormat="1" applyFont="1" applyFill="1" applyBorder="1" applyAlignment="1">
      <alignment/>
    </xf>
    <xf numFmtId="0" fontId="0" fillId="0" borderId="0" xfId="0" applyBorder="1" applyAlignment="1">
      <alignment/>
    </xf>
    <xf numFmtId="181" fontId="6" fillId="0" borderId="0" xfId="0" applyNumberFormat="1" applyFont="1" applyFill="1" applyAlignment="1">
      <alignment/>
    </xf>
    <xf numFmtId="0" fontId="6" fillId="0" borderId="0" xfId="0" applyFont="1" applyBorder="1" applyAlignment="1">
      <alignment/>
    </xf>
    <xf numFmtId="2" fontId="0" fillId="0" borderId="0" xfId="0" applyNumberFormat="1" applyAlignment="1">
      <alignment/>
    </xf>
    <xf numFmtId="182" fontId="9" fillId="2" borderId="0" xfId="0" applyNumberFormat="1" applyFont="1" applyFill="1" applyBorder="1" applyAlignment="1">
      <alignment/>
    </xf>
    <xf numFmtId="0" fontId="26" fillId="0" borderId="0" xfId="0" applyFont="1" applyBorder="1" applyAlignment="1">
      <alignment wrapText="1"/>
    </xf>
    <xf numFmtId="182" fontId="4" fillId="0" borderId="0" xfId="0" applyNumberFormat="1" applyFont="1" applyAlignment="1">
      <alignment/>
    </xf>
    <xf numFmtId="0" fontId="2" fillId="0" borderId="0" xfId="0" applyFont="1" applyAlignment="1">
      <alignment horizontal="center"/>
    </xf>
    <xf numFmtId="181" fontId="4" fillId="0" borderId="0" xfId="0" applyNumberFormat="1" applyFont="1" applyAlignment="1">
      <alignment/>
    </xf>
    <xf numFmtId="181" fontId="0" fillId="0" borderId="0" xfId="0" applyNumberFormat="1" applyAlignment="1">
      <alignment/>
    </xf>
    <xf numFmtId="2" fontId="6" fillId="0" borderId="0" xfId="0" applyNumberFormat="1" applyFont="1" applyFill="1" applyAlignment="1">
      <alignment/>
    </xf>
    <xf numFmtId="0" fontId="2" fillId="0" borderId="0" xfId="0" applyFont="1" applyAlignment="1">
      <alignment horizontal="right"/>
    </xf>
    <xf numFmtId="0" fontId="2" fillId="0" borderId="0" xfId="0" applyFont="1" applyAlignment="1">
      <alignment/>
    </xf>
    <xf numFmtId="181" fontId="2" fillId="0" borderId="0" xfId="0" applyNumberFormat="1" applyFont="1" applyAlignment="1">
      <alignment horizontal="left"/>
    </xf>
    <xf numFmtId="0" fontId="30" fillId="0" borderId="0" xfId="0" applyFont="1" applyAlignment="1">
      <alignment horizontal="right"/>
    </xf>
    <xf numFmtId="0" fontId="4" fillId="0" borderId="2" xfId="0" applyFont="1" applyBorder="1" applyAlignment="1">
      <alignment horizontal="centerContinuous"/>
    </xf>
    <xf numFmtId="0" fontId="0" fillId="0" borderId="0" xfId="0" applyFont="1" applyAlignment="1">
      <alignment horizontal="left"/>
    </xf>
    <xf numFmtId="0" fontId="31" fillId="0" borderId="0" xfId="0" applyFont="1" applyBorder="1" applyAlignment="1">
      <alignment/>
    </xf>
    <xf numFmtId="0" fontId="0" fillId="0" borderId="0" xfId="0" applyFont="1" applyAlignment="1">
      <alignment/>
    </xf>
    <xf numFmtId="0" fontId="31" fillId="0" borderId="0" xfId="0" applyFont="1" applyAlignment="1">
      <alignment/>
    </xf>
    <xf numFmtId="0" fontId="34" fillId="0" borderId="0" xfId="0" applyFont="1" applyAlignment="1">
      <alignment/>
    </xf>
    <xf numFmtId="0" fontId="34" fillId="0" borderId="0" xfId="0" applyFont="1" applyBorder="1" applyAlignment="1">
      <alignment/>
    </xf>
    <xf numFmtId="189" fontId="6" fillId="0" borderId="0" xfId="0" applyNumberFormat="1" applyFont="1" applyBorder="1" applyAlignment="1">
      <alignment/>
    </xf>
    <xf numFmtId="189" fontId="6" fillId="0" borderId="1" xfId="0" applyNumberFormat="1" applyFont="1" applyBorder="1" applyAlignment="1">
      <alignment/>
    </xf>
    <xf numFmtId="0" fontId="38" fillId="0" borderId="0" xfId="0" applyFont="1" applyAlignment="1">
      <alignment horizontal="right"/>
    </xf>
    <xf numFmtId="0" fontId="8" fillId="2" borderId="0" xfId="0" applyFont="1" applyFill="1" applyAlignment="1">
      <alignment horizontal="right"/>
    </xf>
    <xf numFmtId="0" fontId="6" fillId="0" borderId="0" xfId="0" applyFont="1" applyFill="1" applyAlignment="1">
      <alignment/>
    </xf>
    <xf numFmtId="180" fontId="23" fillId="0" borderId="1" xfId="0" applyNumberFormat="1" applyFont="1" applyBorder="1" applyAlignment="1">
      <alignment/>
    </xf>
    <xf numFmtId="180" fontId="23" fillId="0" borderId="0" xfId="0" applyNumberFormat="1" applyFont="1" applyAlignment="1">
      <alignment/>
    </xf>
    <xf numFmtId="180" fontId="23" fillId="0" borderId="0" xfId="0" applyNumberFormat="1" applyFont="1" applyBorder="1" applyAlignment="1">
      <alignment/>
    </xf>
    <xf numFmtId="182" fontId="8" fillId="2" borderId="0" xfId="0" applyNumberFormat="1" applyFont="1" applyFill="1" applyAlignment="1">
      <alignment/>
    </xf>
    <xf numFmtId="0" fontId="41" fillId="0" borderId="3" xfId="0" applyFont="1" applyBorder="1" applyAlignment="1">
      <alignment/>
    </xf>
    <xf numFmtId="0" fontId="8" fillId="3" borderId="3" xfId="0" applyFont="1" applyFill="1" applyBorder="1" applyAlignment="1">
      <alignment/>
    </xf>
    <xf numFmtId="0" fontId="8" fillId="3" borderId="1" xfId="0" applyFont="1" applyFill="1" applyBorder="1" applyAlignment="1">
      <alignment/>
    </xf>
    <xf numFmtId="0" fontId="8" fillId="3" borderId="4" xfId="0" applyFont="1" applyFill="1" applyBorder="1" applyAlignment="1">
      <alignment/>
    </xf>
    <xf numFmtId="0" fontId="41" fillId="0" borderId="5" xfId="0" applyFont="1" applyBorder="1" applyAlignment="1">
      <alignment/>
    </xf>
    <xf numFmtId="0" fontId="8" fillId="3" borderId="5" xfId="0" applyFont="1" applyFill="1" applyBorder="1" applyAlignment="1">
      <alignment/>
    </xf>
    <xf numFmtId="0" fontId="8" fillId="3" borderId="0" xfId="0" applyFont="1" applyFill="1" applyBorder="1" applyAlignment="1">
      <alignment/>
    </xf>
    <xf numFmtId="0" fontId="8" fillId="3" borderId="6" xfId="0" applyFont="1" applyFill="1" applyBorder="1" applyAlignment="1">
      <alignment/>
    </xf>
    <xf numFmtId="2" fontId="8" fillId="3" borderId="5" xfId="0" applyNumberFormat="1" applyFont="1" applyFill="1" applyBorder="1" applyAlignment="1">
      <alignment/>
    </xf>
    <xf numFmtId="2" fontId="8" fillId="3" borderId="0" xfId="0" applyNumberFormat="1" applyFont="1" applyFill="1" applyBorder="1" applyAlignment="1">
      <alignment/>
    </xf>
    <xf numFmtId="2" fontId="8" fillId="3" borderId="6" xfId="0" applyNumberFormat="1" applyFont="1" applyFill="1" applyBorder="1" applyAlignment="1">
      <alignment/>
    </xf>
    <xf numFmtId="2" fontId="9" fillId="2" borderId="5" xfId="0" applyNumberFormat="1" applyFont="1" applyFill="1" applyBorder="1" applyAlignment="1">
      <alignment/>
    </xf>
    <xf numFmtId="2" fontId="9" fillId="2" borderId="0" xfId="0" applyNumberFormat="1" applyFont="1" applyFill="1" applyBorder="1" applyAlignment="1">
      <alignment/>
    </xf>
    <xf numFmtId="2" fontId="9" fillId="2" borderId="6" xfId="0" applyNumberFormat="1" applyFont="1" applyFill="1" applyBorder="1" applyAlignment="1">
      <alignment/>
    </xf>
    <xf numFmtId="0" fontId="41" fillId="0" borderId="7" xfId="0" applyFont="1" applyBorder="1" applyAlignment="1">
      <alignment/>
    </xf>
    <xf numFmtId="2" fontId="9" fillId="2" borderId="7" xfId="0" applyNumberFormat="1" applyFont="1" applyFill="1" applyBorder="1" applyAlignment="1">
      <alignment/>
    </xf>
    <xf numFmtId="2" fontId="9" fillId="2" borderId="8" xfId="0" applyNumberFormat="1" applyFont="1" applyFill="1" applyBorder="1" applyAlignment="1">
      <alignment/>
    </xf>
    <xf numFmtId="0" fontId="0" fillId="0" borderId="0" xfId="0" applyFont="1" applyAlignment="1">
      <alignment/>
    </xf>
    <xf numFmtId="0" fontId="35" fillId="0" borderId="0" xfId="0" applyNumberFormat="1" applyFont="1" applyFill="1" applyAlignment="1">
      <alignment horizontal="center"/>
    </xf>
    <xf numFmtId="0" fontId="16" fillId="0" borderId="0" xfId="0" applyFont="1" applyFill="1" applyBorder="1" applyAlignment="1">
      <alignment/>
    </xf>
    <xf numFmtId="0" fontId="4" fillId="0" borderId="0" xfId="0" applyFont="1" applyFill="1" applyBorder="1" applyAlignment="1">
      <alignment/>
    </xf>
    <xf numFmtId="0" fontId="8" fillId="0" borderId="0" xfId="0" applyFont="1" applyFill="1" applyBorder="1" applyAlignment="1">
      <alignment/>
    </xf>
    <xf numFmtId="182" fontId="9" fillId="0" borderId="0" xfId="0" applyNumberFormat="1" applyFont="1" applyFill="1" applyBorder="1" applyAlignment="1">
      <alignment/>
    </xf>
    <xf numFmtId="180" fontId="9" fillId="0" borderId="0" xfId="0" applyNumberFormat="1" applyFont="1" applyFill="1" applyBorder="1" applyAlignment="1">
      <alignment/>
    </xf>
    <xf numFmtId="180" fontId="21" fillId="0" borderId="0" xfId="0" applyNumberFormat="1" applyFont="1" applyFill="1" applyBorder="1" applyAlignment="1">
      <alignment/>
    </xf>
    <xf numFmtId="0" fontId="0" fillId="0" borderId="0" xfId="0" applyFill="1" applyBorder="1" applyAlignment="1">
      <alignment/>
    </xf>
    <xf numFmtId="189" fontId="6" fillId="0" borderId="0" xfId="0" applyNumberFormat="1"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0" fillId="0" borderId="0" xfId="0" applyFill="1" applyAlignment="1">
      <alignment/>
    </xf>
    <xf numFmtId="189" fontId="6" fillId="0" borderId="0" xfId="0" applyNumberFormat="1" applyFont="1" applyFill="1" applyAlignment="1">
      <alignment/>
    </xf>
    <xf numFmtId="2" fontId="9" fillId="2" borderId="9" xfId="0" applyNumberFormat="1" applyFont="1" applyFill="1" applyBorder="1" applyAlignment="1">
      <alignment/>
    </xf>
    <xf numFmtId="0" fontId="0" fillId="0" borderId="8" xfId="0" applyBorder="1" applyAlignment="1">
      <alignment/>
    </xf>
    <xf numFmtId="0" fontId="4" fillId="0" borderId="0" xfId="0" applyFont="1" applyBorder="1" applyAlignment="1">
      <alignment horizontal="centerContinuous"/>
    </xf>
    <xf numFmtId="0" fontId="4" fillId="0" borderId="10" xfId="0" applyFont="1" applyBorder="1" applyAlignment="1">
      <alignment horizontal="centerContinuous"/>
    </xf>
    <xf numFmtId="0" fontId="4" fillId="0" borderId="0" xfId="0" applyFont="1" applyBorder="1" applyAlignment="1">
      <alignment horizontal="centerContinuous"/>
    </xf>
    <xf numFmtId="0" fontId="4" fillId="0" borderId="10" xfId="0" applyFont="1" applyBorder="1" applyAlignment="1">
      <alignment vertical="top"/>
    </xf>
    <xf numFmtId="0" fontId="31" fillId="0" borderId="8" xfId="0" applyFont="1" applyBorder="1" applyAlignment="1">
      <alignment/>
    </xf>
    <xf numFmtId="0" fontId="4" fillId="0" borderId="8" xfId="0" applyFont="1" applyBorder="1" applyAlignment="1">
      <alignment/>
    </xf>
    <xf numFmtId="0" fontId="6" fillId="0" borderId="8" xfId="0" applyFont="1" applyFill="1" applyBorder="1" applyAlignment="1">
      <alignment/>
    </xf>
    <xf numFmtId="182" fontId="9" fillId="2" borderId="8" xfId="0" applyNumberFormat="1" applyFont="1" applyFill="1" applyBorder="1" applyAlignment="1">
      <alignment/>
    </xf>
    <xf numFmtId="180" fontId="21" fillId="2" borderId="8" xfId="0" applyNumberFormat="1" applyFont="1" applyFill="1" applyBorder="1" applyAlignment="1">
      <alignment/>
    </xf>
    <xf numFmtId="180" fontId="18" fillId="0" borderId="8" xfId="0" applyNumberFormat="1" applyFont="1" applyBorder="1" applyAlignment="1">
      <alignment/>
    </xf>
    <xf numFmtId="189" fontId="6" fillId="0" borderId="8" xfId="0" applyNumberFormat="1" applyFont="1" applyBorder="1" applyAlignment="1">
      <alignment/>
    </xf>
    <xf numFmtId="0" fontId="4" fillId="0" borderId="11" xfId="0" applyFont="1" applyBorder="1" applyAlignment="1">
      <alignment/>
    </xf>
    <xf numFmtId="0" fontId="4" fillId="0" borderId="12" xfId="0" applyFont="1" applyBorder="1" applyAlignment="1">
      <alignment horizontal="centerContinuous"/>
    </xf>
    <xf numFmtId="0" fontId="4" fillId="0" borderId="12" xfId="0" applyFont="1" applyBorder="1" applyAlignment="1">
      <alignment horizontal="centerContinuous" wrapText="1"/>
    </xf>
    <xf numFmtId="0" fontId="0" fillId="0" borderId="13" xfId="0" applyBorder="1" applyAlignment="1">
      <alignment horizontal="centerContinuous" wrapText="1"/>
    </xf>
    <xf numFmtId="0" fontId="48" fillId="0" borderId="0" xfId="0" applyFont="1" applyAlignment="1">
      <alignment horizontal="right"/>
    </xf>
    <xf numFmtId="0" fontId="50" fillId="0" borderId="0" xfId="0" applyFont="1" applyAlignment="1">
      <alignment horizontal="right"/>
    </xf>
    <xf numFmtId="0" fontId="52" fillId="0" borderId="0" xfId="0" applyFont="1" applyFill="1" applyAlignment="1">
      <alignment vertical="top"/>
    </xf>
    <xf numFmtId="0" fontId="4" fillId="0" borderId="0" xfId="0" applyFont="1" applyBorder="1" applyAlignment="1">
      <alignment/>
    </xf>
    <xf numFmtId="0" fontId="8" fillId="2" borderId="0" xfId="0" applyFont="1" applyFill="1" applyAlignment="1">
      <alignment/>
    </xf>
    <xf numFmtId="0" fontId="4" fillId="0" borderId="11" xfId="0" applyFont="1" applyBorder="1" applyAlignment="1">
      <alignment wrapText="1"/>
    </xf>
    <xf numFmtId="2" fontId="4" fillId="0" borderId="0" xfId="0" applyNumberFormat="1" applyFont="1" applyAlignment="1">
      <alignment/>
    </xf>
    <xf numFmtId="2" fontId="6" fillId="0" borderId="0" xfId="0" applyNumberFormat="1" applyFont="1" applyAlignment="1">
      <alignment/>
    </xf>
    <xf numFmtId="0" fontId="4" fillId="0" borderId="14" xfId="0" applyFont="1" applyBorder="1" applyAlignment="1">
      <alignment horizontal="centerContinuous"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18" fillId="0" borderId="16" xfId="0" applyFont="1" applyBorder="1" applyAlignment="1">
      <alignment horizontal="center" vertical="center" wrapText="1"/>
    </xf>
    <xf numFmtId="0" fontId="4" fillId="0" borderId="2" xfId="0" applyFont="1" applyBorder="1" applyAlignment="1">
      <alignment horizontal="centerContinuous" vertical="center"/>
    </xf>
    <xf numFmtId="0" fontId="4" fillId="0" borderId="16" xfId="0" applyFont="1" applyBorder="1" applyAlignment="1">
      <alignment horizontal="center" vertical="center" wrapText="1"/>
    </xf>
    <xf numFmtId="0" fontId="18" fillId="0" borderId="15" xfId="0" applyFont="1" applyBorder="1" applyAlignment="1">
      <alignment horizontal="right" vertical="center" wrapText="1"/>
    </xf>
    <xf numFmtId="0" fontId="18" fillId="0" borderId="11" xfId="0" applyFont="1" applyBorder="1" applyAlignment="1">
      <alignment horizontal="centerContinuous" vertical="center" wrapText="1"/>
    </xf>
    <xf numFmtId="0" fontId="4" fillId="0" borderId="11" xfId="0" applyFont="1" applyBorder="1" applyAlignment="1">
      <alignment vertical="center" wrapText="1"/>
    </xf>
    <xf numFmtId="0" fontId="4" fillId="0" borderId="11" xfId="0" applyFont="1" applyBorder="1" applyAlignment="1">
      <alignment horizontal="centerContinuous" vertical="center"/>
    </xf>
    <xf numFmtId="0" fontId="4" fillId="0" borderId="16" xfId="0" applyFont="1" applyBorder="1" applyAlignment="1">
      <alignment horizontal="centerContinuous"/>
    </xf>
    <xf numFmtId="0" fontId="4" fillId="0" borderId="11" xfId="0" applyFont="1" applyBorder="1" applyAlignment="1">
      <alignment horizontal="left" vertical="center" indent="3"/>
    </xf>
    <xf numFmtId="0" fontId="15" fillId="0" borderId="0" xfId="0" applyFont="1" applyBorder="1" applyAlignment="1">
      <alignment/>
    </xf>
    <xf numFmtId="0" fontId="44" fillId="0" borderId="0" xfId="0" applyFont="1" applyBorder="1" applyAlignment="1">
      <alignment/>
    </xf>
    <xf numFmtId="0" fontId="0" fillId="0" borderId="0" xfId="0" applyFont="1" applyBorder="1" applyAlignment="1">
      <alignment/>
    </xf>
    <xf numFmtId="182" fontId="8" fillId="0" borderId="0" xfId="0" applyNumberFormat="1" applyFont="1" applyFill="1" applyAlignment="1">
      <alignment/>
    </xf>
    <xf numFmtId="0" fontId="8" fillId="0" borderId="0" xfId="0" applyFont="1" applyFill="1" applyAlignment="1">
      <alignment/>
    </xf>
    <xf numFmtId="0" fontId="4" fillId="0" borderId="13" xfId="0" applyFont="1" applyBorder="1" applyAlignment="1">
      <alignment horizontal="centerContinuous"/>
    </xf>
    <xf numFmtId="0" fontId="4" fillId="0" borderId="0" xfId="0" applyFont="1" applyBorder="1" applyAlignment="1">
      <alignment/>
    </xf>
    <xf numFmtId="0" fontId="4" fillId="0" borderId="0" xfId="0" applyFont="1" applyBorder="1" applyAlignment="1">
      <alignment horizontal="centerContinuous" vertical="center"/>
    </xf>
    <xf numFmtId="0" fontId="4" fillId="0" borderId="17" xfId="0" applyFont="1" applyBorder="1" applyAlignment="1">
      <alignment horizontal="centerContinuous"/>
    </xf>
    <xf numFmtId="0" fontId="18" fillId="0" borderId="16" xfId="0" applyFont="1" applyBorder="1" applyAlignment="1">
      <alignment horizontal="centerContinuous" vertical="center" wrapText="1"/>
    </xf>
    <xf numFmtId="0" fontId="4" fillId="0" borderId="2" xfId="0" applyFont="1" applyBorder="1" applyAlignment="1">
      <alignment horizontal="center" vertical="center"/>
    </xf>
    <xf numFmtId="0" fontId="4" fillId="0" borderId="2" xfId="0" applyFont="1" applyBorder="1" applyAlignment="1">
      <alignment horizontal="left"/>
    </xf>
    <xf numFmtId="0" fontId="4" fillId="0" borderId="18" xfId="0" applyFont="1" applyBorder="1" applyAlignment="1">
      <alignment/>
    </xf>
    <xf numFmtId="180" fontId="6" fillId="0" borderId="0" xfId="0" applyNumberFormat="1" applyFont="1" applyFill="1" applyBorder="1" applyAlignment="1">
      <alignment/>
    </xf>
    <xf numFmtId="0" fontId="60" fillId="0" borderId="0" xfId="0" applyFont="1" applyFill="1" applyAlignment="1">
      <alignment vertical="top"/>
    </xf>
    <xf numFmtId="0" fontId="60" fillId="0" borderId="0" xfId="0" applyFont="1" applyAlignment="1">
      <alignment vertical="top"/>
    </xf>
    <xf numFmtId="0" fontId="60" fillId="0" borderId="0" xfId="0" applyFont="1" applyAlignment="1">
      <alignment/>
    </xf>
    <xf numFmtId="0" fontId="60" fillId="4" borderId="19" xfId="0" applyFont="1" applyFill="1" applyBorder="1" applyAlignment="1">
      <alignment horizontal="left"/>
    </xf>
    <xf numFmtId="0" fontId="0" fillId="4" borderId="20" xfId="0" applyFill="1" applyBorder="1" applyAlignment="1">
      <alignment/>
    </xf>
    <xf numFmtId="0" fontId="4" fillId="4" borderId="20" xfId="0" applyFont="1" applyFill="1" applyBorder="1" applyAlignment="1">
      <alignment/>
    </xf>
    <xf numFmtId="0" fontId="0" fillId="4" borderId="21" xfId="0" applyFill="1" applyBorder="1" applyAlignment="1">
      <alignment/>
    </xf>
    <xf numFmtId="0" fontId="0" fillId="4" borderId="22" xfId="0" applyFill="1" applyBorder="1" applyAlignment="1">
      <alignment/>
    </xf>
    <xf numFmtId="0" fontId="4" fillId="4" borderId="23" xfId="0" applyFont="1" applyFill="1" applyBorder="1" applyAlignment="1">
      <alignment horizontal="right"/>
    </xf>
    <xf numFmtId="0" fontId="8" fillId="2" borderId="23" xfId="0" applyFont="1" applyFill="1" applyBorder="1" applyAlignment="1">
      <alignment/>
    </xf>
    <xf numFmtId="185" fontId="9" fillId="2" borderId="23" xfId="0" applyNumberFormat="1" applyFont="1" applyFill="1" applyBorder="1" applyAlignment="1">
      <alignment/>
    </xf>
    <xf numFmtId="0" fontId="4" fillId="5" borderId="24" xfId="0" applyFont="1" applyFill="1" applyBorder="1" applyAlignment="1">
      <alignment/>
    </xf>
    <xf numFmtId="0" fontId="1" fillId="0" borderId="0" xfId="0" applyFont="1" applyAlignment="1">
      <alignment/>
    </xf>
    <xf numFmtId="0" fontId="4" fillId="6" borderId="18" xfId="0" applyFont="1" applyFill="1" applyBorder="1" applyAlignment="1">
      <alignment horizontal="center" vertical="center"/>
    </xf>
    <xf numFmtId="0" fontId="50" fillId="0" borderId="0" xfId="0" applyFont="1" applyBorder="1" applyAlignment="1">
      <alignment horizontal="right"/>
    </xf>
    <xf numFmtId="0" fontId="70" fillId="2" borderId="0" xfId="0" applyFont="1" applyFill="1" applyBorder="1" applyAlignment="1">
      <alignment/>
    </xf>
    <xf numFmtId="180" fontId="74" fillId="2" borderId="0" xfId="0" applyNumberFormat="1" applyFont="1" applyFill="1" applyAlignment="1">
      <alignment/>
    </xf>
    <xf numFmtId="0" fontId="4" fillId="0" borderId="0" xfId="0" applyFont="1" applyBorder="1" applyAlignment="1">
      <alignment vertical="top"/>
    </xf>
    <xf numFmtId="0" fontId="4" fillId="0" borderId="0" xfId="0" applyFont="1" applyBorder="1" applyAlignment="1">
      <alignment vertical="top" wrapText="1"/>
    </xf>
    <xf numFmtId="0" fontId="0" fillId="3" borderId="0" xfId="0" applyFill="1" applyAlignment="1">
      <alignment/>
    </xf>
    <xf numFmtId="2" fontId="76" fillId="0" borderId="0" xfId="0" applyNumberFormat="1" applyFont="1" applyAlignment="1">
      <alignment/>
    </xf>
    <xf numFmtId="0" fontId="76" fillId="0" borderId="0" xfId="0" applyFont="1" applyAlignment="1">
      <alignment/>
    </xf>
    <xf numFmtId="2" fontId="77" fillId="0" borderId="0" xfId="0" applyNumberFormat="1" applyFont="1" applyAlignment="1">
      <alignment/>
    </xf>
    <xf numFmtId="0" fontId="3" fillId="3" borderId="0" xfId="0" applyFont="1" applyFill="1" applyAlignment="1">
      <alignment/>
    </xf>
    <xf numFmtId="0" fontId="79" fillId="0" borderId="0" xfId="0" applyFont="1" applyAlignment="1">
      <alignment/>
    </xf>
    <xf numFmtId="0" fontId="79" fillId="3" borderId="0" xfId="0" applyFont="1" applyFill="1" applyAlignment="1">
      <alignment/>
    </xf>
    <xf numFmtId="2" fontId="77" fillId="3" borderId="0" xfId="0" applyNumberFormat="1" applyFont="1" applyFill="1" applyAlignment="1">
      <alignment/>
    </xf>
    <xf numFmtId="2" fontId="80" fillId="0" borderId="0" xfId="0" applyNumberFormat="1" applyFont="1" applyAlignment="1">
      <alignment/>
    </xf>
    <xf numFmtId="14" fontId="38" fillId="0" borderId="0" xfId="0" applyNumberFormat="1" applyFont="1" applyAlignment="1">
      <alignment/>
    </xf>
    <xf numFmtId="0" fontId="4" fillId="3" borderId="0" xfId="0" applyFont="1" applyFill="1" applyAlignment="1">
      <alignment/>
    </xf>
    <xf numFmtId="0" fontId="4" fillId="3" borderId="0" xfId="0" applyFont="1" applyFill="1" applyAlignment="1">
      <alignment vertical="center"/>
    </xf>
    <xf numFmtId="0" fontId="60" fillId="3" borderId="0" xfId="0" applyFont="1" applyFill="1" applyAlignment="1">
      <alignment vertical="top"/>
    </xf>
    <xf numFmtId="0" fontId="1" fillId="3" borderId="0" xfId="0" applyFont="1" applyFill="1" applyAlignment="1">
      <alignment/>
    </xf>
    <xf numFmtId="0" fontId="2" fillId="0" borderId="0" xfId="0" applyFont="1" applyBorder="1" applyAlignment="1">
      <alignment horizontal="right"/>
    </xf>
    <xf numFmtId="0" fontId="8" fillId="2" borderId="0" xfId="0" applyFont="1" applyFill="1" applyBorder="1" applyAlignment="1">
      <alignment/>
    </xf>
    <xf numFmtId="180" fontId="72" fillId="2" borderId="0" xfId="0" applyNumberFormat="1" applyFont="1" applyFill="1" applyBorder="1" applyAlignment="1">
      <alignment vertical="top"/>
    </xf>
    <xf numFmtId="180" fontId="72" fillId="2" borderId="0" xfId="0" applyNumberFormat="1" applyFont="1" applyFill="1" applyBorder="1" applyAlignment="1">
      <alignment vertical="center"/>
    </xf>
    <xf numFmtId="180" fontId="71" fillId="7" borderId="0" xfId="0" applyNumberFormat="1" applyFont="1" applyFill="1" applyBorder="1" applyAlignment="1">
      <alignment/>
    </xf>
    <xf numFmtId="180" fontId="72" fillId="2" borderId="0" xfId="0" applyNumberFormat="1" applyFont="1" applyFill="1" applyBorder="1" applyAlignment="1">
      <alignment/>
    </xf>
    <xf numFmtId="0" fontId="4" fillId="0" borderId="0" xfId="0" applyFont="1" applyBorder="1" applyAlignment="1">
      <alignment horizontal="right" vertical="top"/>
    </xf>
    <xf numFmtId="182" fontId="71" fillId="2" borderId="0" xfId="0" applyNumberFormat="1" applyFont="1" applyFill="1" applyBorder="1" applyAlignment="1">
      <alignment/>
    </xf>
    <xf numFmtId="180" fontId="71" fillId="2" borderId="0" xfId="0" applyNumberFormat="1" applyFont="1" applyFill="1" applyBorder="1" applyAlignment="1">
      <alignment/>
    </xf>
    <xf numFmtId="180" fontId="17" fillId="2" borderId="0" xfId="0" applyNumberFormat="1" applyFont="1" applyFill="1" applyAlignment="1">
      <alignment horizontal="right"/>
    </xf>
    <xf numFmtId="0" fontId="2" fillId="0" borderId="0" xfId="0" applyFont="1" applyBorder="1" applyAlignment="1">
      <alignment/>
    </xf>
    <xf numFmtId="180" fontId="17" fillId="2" borderId="0" xfId="0" applyNumberFormat="1" applyFont="1" applyFill="1" applyAlignment="1">
      <alignment/>
    </xf>
    <xf numFmtId="0" fontId="4" fillId="0" borderId="0" xfId="0" applyFont="1" applyFill="1" applyAlignment="1">
      <alignment/>
    </xf>
    <xf numFmtId="0" fontId="4" fillId="0" borderId="0" xfId="0" applyFont="1" applyFill="1" applyAlignment="1">
      <alignment vertical="center"/>
    </xf>
    <xf numFmtId="0" fontId="0" fillId="0" borderId="0" xfId="0" applyFont="1" applyAlignment="1">
      <alignment horizontal="right"/>
    </xf>
    <xf numFmtId="0" fontId="2" fillId="0" borderId="0" xfId="0" applyFont="1" applyBorder="1" applyAlignment="1">
      <alignment horizontal="right" wrapText="1"/>
    </xf>
    <xf numFmtId="0" fontId="87" fillId="0" borderId="0" xfId="0" applyFont="1" applyAlignment="1">
      <alignment horizontal="center"/>
    </xf>
    <xf numFmtId="0" fontId="84" fillId="0" borderId="0" xfId="0" applyFont="1" applyAlignment="1">
      <alignment horizontal="center"/>
    </xf>
    <xf numFmtId="0" fontId="2" fillId="0" borderId="0" xfId="0" applyFont="1" applyBorder="1" applyAlignment="1">
      <alignment horizontal="center"/>
    </xf>
    <xf numFmtId="0" fontId="38" fillId="0" borderId="0" xfId="0" applyFont="1" applyBorder="1" applyAlignment="1">
      <alignment horizontal="right"/>
    </xf>
    <xf numFmtId="0" fontId="4" fillId="0" borderId="0" xfId="0" applyFont="1" applyAlignment="1">
      <alignment horizontal="right"/>
    </xf>
    <xf numFmtId="0" fontId="8" fillId="8" borderId="1" xfId="0" applyFont="1" applyFill="1" applyBorder="1" applyAlignment="1">
      <alignment/>
    </xf>
    <xf numFmtId="0" fontId="8" fillId="8" borderId="0" xfId="0" applyFont="1" applyFill="1" applyAlignment="1">
      <alignment/>
    </xf>
    <xf numFmtId="0" fontId="8" fillId="8" borderId="0" xfId="0" applyFont="1" applyFill="1" applyBorder="1" applyAlignment="1">
      <alignment/>
    </xf>
    <xf numFmtId="0" fontId="20" fillId="8" borderId="0" xfId="0" applyFont="1" applyFill="1" applyAlignment="1">
      <alignment/>
    </xf>
    <xf numFmtId="180" fontId="9" fillId="8" borderId="8" xfId="0" applyNumberFormat="1" applyFont="1" applyFill="1" applyBorder="1" applyAlignment="1">
      <alignment/>
    </xf>
    <xf numFmtId="180" fontId="9" fillId="8" borderId="0" xfId="0" applyNumberFormat="1" applyFont="1" applyFill="1" applyBorder="1" applyAlignment="1">
      <alignment/>
    </xf>
    <xf numFmtId="180" fontId="9" fillId="8" borderId="1" xfId="0" applyNumberFormat="1" applyFont="1" applyFill="1" applyBorder="1" applyAlignment="1">
      <alignment/>
    </xf>
    <xf numFmtId="185" fontId="17" fillId="0" borderId="23" xfId="0" applyNumberFormat="1" applyFont="1" applyFill="1" applyBorder="1" applyAlignment="1">
      <alignment/>
    </xf>
    <xf numFmtId="0" fontId="91" fillId="0" borderId="0" xfId="0" applyFont="1" applyFill="1" applyAlignment="1">
      <alignment/>
    </xf>
    <xf numFmtId="1" fontId="17" fillId="0" borderId="0" xfId="0" applyNumberFormat="1" applyFont="1" applyFill="1" applyBorder="1" applyAlignment="1">
      <alignment/>
    </xf>
    <xf numFmtId="0" fontId="91" fillId="0" borderId="23" xfId="0" applyFont="1" applyFill="1" applyBorder="1" applyAlignment="1">
      <alignment/>
    </xf>
    <xf numFmtId="180" fontId="72" fillId="2" borderId="3" xfId="0" applyNumberFormat="1" applyFont="1" applyFill="1" applyBorder="1" applyAlignment="1">
      <alignment vertical="top"/>
    </xf>
    <xf numFmtId="180" fontId="72" fillId="2" borderId="1" xfId="0" applyNumberFormat="1" applyFont="1" applyFill="1" applyBorder="1" applyAlignment="1">
      <alignment vertical="top"/>
    </xf>
    <xf numFmtId="0" fontId="2" fillId="0" borderId="1" xfId="0" applyFont="1" applyBorder="1" applyAlignment="1">
      <alignment/>
    </xf>
    <xf numFmtId="180" fontId="72" fillId="2" borderId="5" xfId="0" applyNumberFormat="1" applyFont="1" applyFill="1" applyBorder="1" applyAlignment="1">
      <alignment vertical="top"/>
    </xf>
    <xf numFmtId="180" fontId="72" fillId="2" borderId="5" xfId="0" applyNumberFormat="1" applyFont="1" applyFill="1" applyBorder="1" applyAlignment="1">
      <alignment vertical="center"/>
    </xf>
    <xf numFmtId="180" fontId="71" fillId="2" borderId="8" xfId="0" applyNumberFormat="1" applyFont="1" applyFill="1" applyBorder="1" applyAlignment="1">
      <alignment/>
    </xf>
    <xf numFmtId="0" fontId="2" fillId="0" borderId="8" xfId="0" applyFont="1" applyBorder="1" applyAlignment="1">
      <alignment/>
    </xf>
    <xf numFmtId="0" fontId="2" fillId="0" borderId="2" xfId="0" applyFont="1" applyBorder="1" applyAlignment="1">
      <alignment horizontal="center" vertical="top"/>
    </xf>
    <xf numFmtId="0" fontId="70" fillId="2" borderId="2" xfId="0" applyFont="1" applyFill="1" applyBorder="1" applyAlignment="1">
      <alignment/>
    </xf>
    <xf numFmtId="0" fontId="4" fillId="0" borderId="1" xfId="0" applyFont="1" applyBorder="1" applyAlignment="1">
      <alignment vertical="top"/>
    </xf>
    <xf numFmtId="0" fontId="9" fillId="2" borderId="6" xfId="0" applyFont="1" applyFill="1" applyBorder="1" applyAlignment="1">
      <alignment/>
    </xf>
    <xf numFmtId="0" fontId="8" fillId="2" borderId="6" xfId="0" applyFont="1" applyFill="1" applyBorder="1" applyAlignment="1">
      <alignment/>
    </xf>
    <xf numFmtId="0" fontId="0" fillId="0" borderId="8" xfId="0" applyBorder="1" applyAlignment="1">
      <alignment horizontal="right"/>
    </xf>
    <xf numFmtId="180" fontId="0" fillId="9" borderId="25" xfId="0" applyNumberFormat="1" applyFill="1" applyBorder="1" applyAlignment="1">
      <alignment/>
    </xf>
    <xf numFmtId="0" fontId="0" fillId="9" borderId="26" xfId="0" applyFill="1" applyBorder="1" applyAlignment="1">
      <alignment/>
    </xf>
    <xf numFmtId="0" fontId="0" fillId="9" borderId="9" xfId="0" applyFill="1" applyBorder="1" applyAlignment="1">
      <alignment/>
    </xf>
    <xf numFmtId="180" fontId="0" fillId="0" borderId="0" xfId="0" applyNumberFormat="1" applyAlignment="1">
      <alignment/>
    </xf>
    <xf numFmtId="180" fontId="6" fillId="0" borderId="0" xfId="0" applyNumberFormat="1" applyFont="1" applyBorder="1" applyAlignment="1">
      <alignment/>
    </xf>
    <xf numFmtId="0" fontId="2" fillId="0" borderId="1" xfId="0" applyFont="1" applyBorder="1" applyAlignment="1">
      <alignment vertical="top"/>
    </xf>
    <xf numFmtId="0" fontId="2" fillId="0" borderId="0" xfId="0" applyFont="1" applyBorder="1" applyAlignment="1">
      <alignment vertical="top"/>
    </xf>
    <xf numFmtId="0" fontId="2" fillId="0" borderId="0" xfId="0" applyFont="1" applyBorder="1" applyAlignment="1">
      <alignment vertical="top" wrapText="1"/>
    </xf>
    <xf numFmtId="0" fontId="0" fillId="0" borderId="8" xfId="0" applyFont="1" applyBorder="1" applyAlignment="1">
      <alignment horizontal="right"/>
    </xf>
    <xf numFmtId="0" fontId="31" fillId="3" borderId="0" xfId="0" applyFont="1" applyFill="1" applyAlignment="1">
      <alignment/>
    </xf>
    <xf numFmtId="2" fontId="76" fillId="3" borderId="0" xfId="0" applyNumberFormat="1" applyFont="1" applyFill="1" applyAlignment="1">
      <alignment/>
    </xf>
    <xf numFmtId="0" fontId="76" fillId="3" borderId="0" xfId="0" applyFont="1" applyFill="1" applyAlignment="1">
      <alignment/>
    </xf>
    <xf numFmtId="0" fontId="87" fillId="0" borderId="0" xfId="0" applyFont="1" applyAlignment="1">
      <alignment horizontal="right"/>
    </xf>
    <xf numFmtId="0" fontId="84" fillId="0" borderId="0" xfId="0" applyFont="1" applyAlignment="1">
      <alignment horizontal="right"/>
    </xf>
    <xf numFmtId="0" fontId="20" fillId="2" borderId="0" xfId="0" applyFont="1" applyFill="1" applyAlignment="1">
      <alignment/>
    </xf>
    <xf numFmtId="0" fontId="8" fillId="2" borderId="0" xfId="0" applyFont="1" applyFill="1" applyBorder="1" applyAlignment="1">
      <alignment/>
    </xf>
    <xf numFmtId="0" fontId="0" fillId="0" borderId="0" xfId="0" applyBorder="1" applyAlignment="1">
      <alignment horizontal="center" vertical="center" textRotation="180"/>
    </xf>
    <xf numFmtId="0" fontId="96" fillId="10" borderId="27" xfId="0" applyFont="1" applyFill="1" applyBorder="1" applyAlignment="1">
      <alignment/>
    </xf>
    <xf numFmtId="180" fontId="96" fillId="10" borderId="5" xfId="0" applyNumberFormat="1" applyFont="1" applyFill="1" applyBorder="1" applyAlignment="1">
      <alignment/>
    </xf>
    <xf numFmtId="180" fontId="96" fillId="10" borderId="0" xfId="0" applyNumberFormat="1" applyFont="1" applyFill="1" applyBorder="1" applyAlignment="1">
      <alignment/>
    </xf>
    <xf numFmtId="180" fontId="71" fillId="2" borderId="5" xfId="0" applyNumberFormat="1" applyFont="1" applyFill="1" applyBorder="1" applyAlignment="1">
      <alignment/>
    </xf>
    <xf numFmtId="180" fontId="71" fillId="2" borderId="7" xfId="0" applyNumberFormat="1" applyFont="1" applyFill="1" applyBorder="1" applyAlignment="1">
      <alignment/>
    </xf>
    <xf numFmtId="180" fontId="0" fillId="0" borderId="0" xfId="0" applyNumberFormat="1" applyFill="1" applyAlignment="1">
      <alignment/>
    </xf>
    <xf numFmtId="0" fontId="0" fillId="11" borderId="28" xfId="0" applyFill="1" applyBorder="1" applyAlignment="1">
      <alignment/>
    </xf>
    <xf numFmtId="0" fontId="0" fillId="11" borderId="29" xfId="0" applyFill="1" applyBorder="1" applyAlignment="1">
      <alignment/>
    </xf>
    <xf numFmtId="0" fontId="100" fillId="11" borderId="29" xfId="0" applyFont="1" applyFill="1" applyBorder="1" applyAlignment="1">
      <alignment/>
    </xf>
    <xf numFmtId="0" fontId="101" fillId="11" borderId="29" xfId="0" applyFont="1" applyFill="1" applyBorder="1" applyAlignment="1">
      <alignment horizontal="right"/>
    </xf>
    <xf numFmtId="0" fontId="4" fillId="11" borderId="0" xfId="0" applyFont="1" applyFill="1" applyAlignment="1">
      <alignment vertical="top"/>
    </xf>
    <xf numFmtId="0" fontId="4" fillId="6" borderId="30" xfId="0" applyFont="1" applyFill="1" applyBorder="1" applyAlignment="1">
      <alignment horizontal="center" vertical="center"/>
    </xf>
    <xf numFmtId="0" fontId="4" fillId="6" borderId="30" xfId="0" applyFont="1" applyFill="1" applyBorder="1" applyAlignment="1">
      <alignment horizontal="left" vertical="center"/>
    </xf>
    <xf numFmtId="0" fontId="0" fillId="6" borderId="30" xfId="0" applyFill="1" applyBorder="1" applyAlignment="1">
      <alignment horizontal="center" vertical="center"/>
    </xf>
    <xf numFmtId="0" fontId="4" fillId="6" borderId="30" xfId="0" applyFont="1" applyFill="1" applyBorder="1" applyAlignment="1">
      <alignment/>
    </xf>
    <xf numFmtId="0" fontId="1" fillId="3" borderId="30" xfId="0" applyFont="1" applyFill="1" applyBorder="1" applyAlignment="1">
      <alignment/>
    </xf>
    <xf numFmtId="0" fontId="0" fillId="6" borderId="30" xfId="0" applyFill="1" applyBorder="1" applyAlignment="1">
      <alignment horizontal="left" vertical="center"/>
    </xf>
    <xf numFmtId="0" fontId="0" fillId="0" borderId="30" xfId="0" applyBorder="1" applyAlignment="1">
      <alignment horizontal="right"/>
    </xf>
    <xf numFmtId="0" fontId="8" fillId="2" borderId="30" xfId="0" applyFont="1" applyFill="1" applyBorder="1" applyAlignment="1">
      <alignment/>
    </xf>
    <xf numFmtId="0" fontId="91" fillId="8" borderId="30" xfId="0" applyFont="1" applyFill="1" applyBorder="1" applyAlignment="1">
      <alignment/>
    </xf>
    <xf numFmtId="185" fontId="9" fillId="2" borderId="30" xfId="0" applyNumberFormat="1" applyFont="1" applyFill="1" applyBorder="1" applyAlignment="1">
      <alignment/>
    </xf>
    <xf numFmtId="185" fontId="34" fillId="8" borderId="30" xfId="0" applyNumberFormat="1" applyFont="1" applyFill="1" applyBorder="1" applyAlignment="1">
      <alignment/>
    </xf>
    <xf numFmtId="0" fontId="96" fillId="10" borderId="30" xfId="0" applyFont="1" applyFill="1" applyBorder="1" applyAlignment="1">
      <alignment/>
    </xf>
    <xf numFmtId="0" fontId="4" fillId="5" borderId="30" xfId="0" applyFont="1" applyFill="1" applyBorder="1" applyAlignment="1">
      <alignment/>
    </xf>
    <xf numFmtId="0" fontId="0" fillId="0" borderId="30" xfId="0" applyBorder="1" applyAlignment="1">
      <alignment/>
    </xf>
    <xf numFmtId="0" fontId="0" fillId="12" borderId="30" xfId="0" applyFill="1" applyBorder="1" applyAlignment="1">
      <alignment horizontal="right"/>
    </xf>
    <xf numFmtId="0" fontId="17" fillId="3" borderId="30" xfId="0" applyFont="1" applyFill="1" applyBorder="1" applyAlignment="1">
      <alignment horizontal="right"/>
    </xf>
    <xf numFmtId="0" fontId="0" fillId="0" borderId="30" xfId="0" applyFill="1" applyBorder="1" applyAlignment="1">
      <alignment vertical="center"/>
    </xf>
    <xf numFmtId="0" fontId="0" fillId="0" borderId="0" xfId="0" applyFill="1" applyAlignment="1">
      <alignment vertical="center"/>
    </xf>
    <xf numFmtId="0" fontId="4" fillId="0" borderId="30" xfId="0" applyFont="1" applyFill="1" applyBorder="1" applyAlignment="1">
      <alignment vertical="center"/>
    </xf>
    <xf numFmtId="0" fontId="1" fillId="0" borderId="0" xfId="0" applyFont="1" applyAlignment="1">
      <alignment horizontal="right"/>
    </xf>
    <xf numFmtId="0" fontId="20" fillId="2" borderId="0" xfId="0" applyFont="1" applyFill="1" applyAlignment="1">
      <alignment horizontal="right"/>
    </xf>
    <xf numFmtId="0" fontId="1" fillId="0" borderId="3" xfId="0" applyFont="1" applyBorder="1" applyAlignment="1">
      <alignment/>
    </xf>
    <xf numFmtId="0" fontId="0" fillId="0" borderId="4" xfId="0" applyBorder="1" applyAlignment="1">
      <alignment/>
    </xf>
    <xf numFmtId="0" fontId="1" fillId="0" borderId="25" xfId="0" applyFont="1" applyBorder="1" applyAlignment="1">
      <alignment horizontal="center"/>
    </xf>
    <xf numFmtId="0" fontId="0" fillId="0" borderId="1" xfId="0" applyBorder="1" applyAlignment="1">
      <alignment/>
    </xf>
    <xf numFmtId="0" fontId="0" fillId="0" borderId="3" xfId="0" applyBorder="1" applyAlignment="1">
      <alignment/>
    </xf>
    <xf numFmtId="0" fontId="92" fillId="0" borderId="1" xfId="0" applyFont="1" applyBorder="1" applyAlignment="1">
      <alignment horizontal="center"/>
    </xf>
    <xf numFmtId="0" fontId="0" fillId="0" borderId="25" xfId="0" applyBorder="1" applyAlignment="1">
      <alignment/>
    </xf>
    <xf numFmtId="0" fontId="8" fillId="2" borderId="5" xfId="0" applyFont="1" applyFill="1" applyBorder="1" applyAlignment="1">
      <alignment/>
    </xf>
    <xf numFmtId="0" fontId="0" fillId="0" borderId="6" xfId="0" applyBorder="1" applyAlignment="1">
      <alignment/>
    </xf>
    <xf numFmtId="0" fontId="0" fillId="0" borderId="5" xfId="0" applyBorder="1" applyAlignment="1">
      <alignment/>
    </xf>
    <xf numFmtId="0" fontId="0" fillId="0" borderId="26" xfId="0" applyBorder="1" applyAlignment="1">
      <alignment/>
    </xf>
    <xf numFmtId="0" fontId="0" fillId="0" borderId="0" xfId="0" applyBorder="1" applyAlignment="1">
      <alignment horizontal="right"/>
    </xf>
    <xf numFmtId="0" fontId="0" fillId="0" borderId="7" xfId="0" applyFont="1" applyBorder="1" applyAlignment="1">
      <alignment horizontal="center"/>
    </xf>
    <xf numFmtId="0" fontId="0" fillId="0" borderId="8" xfId="0" applyFont="1" applyBorder="1" applyAlignment="1">
      <alignment horizontal="center"/>
    </xf>
    <xf numFmtId="0" fontId="0" fillId="0" borderId="27" xfId="0" applyFont="1" applyBorder="1" applyAlignment="1">
      <alignment horizontal="center"/>
    </xf>
    <xf numFmtId="0" fontId="1" fillId="0" borderId="26" xfId="0" applyFont="1" applyBorder="1" applyAlignment="1">
      <alignment/>
    </xf>
    <xf numFmtId="1" fontId="71" fillId="2" borderId="5" xfId="0" applyNumberFormat="1" applyFont="1" applyFill="1" applyBorder="1" applyAlignment="1">
      <alignment/>
    </xf>
    <xf numFmtId="2" fontId="102" fillId="13" borderId="6" xfId="0" applyNumberFormat="1" applyFont="1" applyFill="1" applyBorder="1" applyAlignment="1">
      <alignment/>
    </xf>
    <xf numFmtId="0" fontId="0" fillId="0" borderId="9" xfId="0" applyFont="1" applyBorder="1" applyAlignment="1">
      <alignment/>
    </xf>
    <xf numFmtId="0" fontId="0" fillId="0" borderId="7" xfId="0" applyBorder="1" applyAlignment="1">
      <alignment horizontal="center"/>
    </xf>
    <xf numFmtId="180" fontId="0" fillId="0" borderId="8" xfId="0" applyNumberFormat="1" applyBorder="1" applyAlignment="1">
      <alignment/>
    </xf>
    <xf numFmtId="0" fontId="0" fillId="0" borderId="27" xfId="0" applyBorder="1" applyAlignment="1">
      <alignment/>
    </xf>
    <xf numFmtId="0" fontId="8" fillId="2" borderId="8" xfId="0" applyFont="1" applyFill="1" applyBorder="1" applyAlignment="1">
      <alignment/>
    </xf>
    <xf numFmtId="0" fontId="0" fillId="0" borderId="27" xfId="0" applyBorder="1" applyAlignment="1">
      <alignment horizontal="center"/>
    </xf>
    <xf numFmtId="0" fontId="0" fillId="0" borderId="0" xfId="0" applyFont="1" applyAlignment="1">
      <alignment horizontal="center"/>
    </xf>
    <xf numFmtId="0" fontId="0" fillId="0" borderId="3" xfId="0" applyFill="1" applyBorder="1" applyAlignment="1">
      <alignment horizontal="right"/>
    </xf>
    <xf numFmtId="0" fontId="0" fillId="0" borderId="1" xfId="0" applyBorder="1" applyAlignment="1">
      <alignment horizontal="right"/>
    </xf>
    <xf numFmtId="0" fontId="0" fillId="0" borderId="4" xfId="0" applyBorder="1" applyAlignment="1">
      <alignment horizontal="right"/>
    </xf>
    <xf numFmtId="2" fontId="8" fillId="2" borderId="25" xfId="0" applyNumberFormat="1" applyFont="1" applyFill="1" applyBorder="1" applyAlignment="1">
      <alignment horizontal="right"/>
    </xf>
    <xf numFmtId="180" fontId="103" fillId="8" borderId="3" xfId="21" applyNumberFormat="1" applyFont="1" applyFill="1" applyBorder="1">
      <alignment/>
      <protection/>
    </xf>
    <xf numFmtId="180" fontId="104" fillId="10" borderId="4" xfId="21" applyNumberFormat="1" applyFont="1" applyFill="1" applyBorder="1">
      <alignment/>
      <protection/>
    </xf>
    <xf numFmtId="180" fontId="17" fillId="8" borderId="3" xfId="0" applyNumberFormat="1" applyFont="1" applyFill="1" applyBorder="1" applyAlignment="1">
      <alignment/>
    </xf>
    <xf numFmtId="2" fontId="102" fillId="13" borderId="4" xfId="0" applyNumberFormat="1" applyFont="1" applyFill="1" applyBorder="1" applyAlignment="1">
      <alignment/>
    </xf>
    <xf numFmtId="180" fontId="91" fillId="8" borderId="0" xfId="0" applyNumberFormat="1" applyFont="1" applyFill="1" applyAlignment="1">
      <alignment/>
    </xf>
    <xf numFmtId="180" fontId="91" fillId="8" borderId="3" xfId="0" applyNumberFormat="1" applyFont="1" applyFill="1" applyBorder="1" applyAlignment="1">
      <alignment/>
    </xf>
    <xf numFmtId="180" fontId="96" fillId="10" borderId="1" xfId="0" applyNumberFormat="1" applyFont="1" applyFill="1" applyBorder="1" applyAlignment="1">
      <alignment/>
    </xf>
    <xf numFmtId="180" fontId="17" fillId="8" borderId="1" xfId="0" applyNumberFormat="1" applyFont="1" applyFill="1" applyBorder="1" applyAlignment="1">
      <alignment/>
    </xf>
    <xf numFmtId="180" fontId="17" fillId="8" borderId="4" xfId="0" applyNumberFormat="1" applyFont="1" applyFill="1" applyBorder="1" applyAlignment="1">
      <alignment/>
    </xf>
    <xf numFmtId="0" fontId="9" fillId="2" borderId="1" xfId="0" applyFont="1" applyFill="1" applyBorder="1" applyAlignment="1">
      <alignment/>
    </xf>
    <xf numFmtId="180" fontId="91" fillId="8" borderId="0" xfId="21" applyNumberFormat="1" applyFont="1" applyFill="1" applyBorder="1">
      <alignment/>
      <protection/>
    </xf>
    <xf numFmtId="0" fontId="0" fillId="0" borderId="5" xfId="0" applyFont="1" applyFill="1" applyBorder="1" applyAlignment="1">
      <alignment horizontal="right"/>
    </xf>
    <xf numFmtId="0" fontId="0" fillId="0" borderId="6" xfId="0" applyBorder="1" applyAlignment="1">
      <alignment horizontal="right"/>
    </xf>
    <xf numFmtId="2" fontId="8" fillId="2" borderId="26" xfId="0" applyNumberFormat="1" applyFont="1" applyFill="1" applyBorder="1" applyAlignment="1">
      <alignment horizontal="right"/>
    </xf>
    <xf numFmtId="180" fontId="103" fillId="8" borderId="5" xfId="21" applyNumberFormat="1" applyFont="1" applyFill="1" applyBorder="1">
      <alignment/>
      <protection/>
    </xf>
    <xf numFmtId="180" fontId="104" fillId="10" borderId="6" xfId="21" applyNumberFormat="1" applyFont="1" applyFill="1" applyBorder="1">
      <alignment/>
      <protection/>
    </xf>
    <xf numFmtId="180" fontId="17" fillId="8" borderId="5" xfId="0" applyNumberFormat="1" applyFont="1" applyFill="1" applyBorder="1" applyAlignment="1">
      <alignment/>
    </xf>
    <xf numFmtId="180" fontId="91" fillId="8" borderId="5" xfId="0" applyNumberFormat="1" applyFont="1" applyFill="1" applyBorder="1" applyAlignment="1">
      <alignment/>
    </xf>
    <xf numFmtId="180" fontId="17" fillId="8" borderId="0" xfId="0" applyNumberFormat="1" applyFont="1" applyFill="1" applyBorder="1" applyAlignment="1">
      <alignment/>
    </xf>
    <xf numFmtId="180" fontId="17" fillId="8" borderId="6" xfId="0" applyNumberFormat="1" applyFont="1" applyFill="1" applyBorder="1" applyAlignment="1">
      <alignment/>
    </xf>
    <xf numFmtId="0" fontId="9" fillId="2" borderId="0" xfId="0" applyFont="1" applyFill="1" applyBorder="1" applyAlignment="1">
      <alignment/>
    </xf>
    <xf numFmtId="0" fontId="0" fillId="0" borderId="5" xfId="0" applyFill="1" applyBorder="1" applyAlignment="1">
      <alignment horizontal="right"/>
    </xf>
    <xf numFmtId="0" fontId="0" fillId="0" borderId="0" xfId="0" applyFill="1" applyBorder="1" applyAlignment="1">
      <alignment horizontal="right"/>
    </xf>
    <xf numFmtId="0" fontId="0" fillId="12" borderId="5" xfId="0" applyFont="1" applyFill="1" applyBorder="1" applyAlignment="1">
      <alignment horizontal="right"/>
    </xf>
    <xf numFmtId="0" fontId="0" fillId="0" borderId="6" xfId="0" applyFill="1" applyBorder="1" applyAlignment="1">
      <alignment horizontal="right"/>
    </xf>
    <xf numFmtId="0" fontId="0" fillId="0" borderId="0" xfId="0" applyFont="1" applyFill="1" applyBorder="1" applyAlignment="1">
      <alignment horizontal="right"/>
    </xf>
    <xf numFmtId="0" fontId="0" fillId="0" borderId="6" xfId="0" applyFont="1" applyFill="1" applyBorder="1" applyAlignment="1">
      <alignment horizontal="right"/>
    </xf>
    <xf numFmtId="0" fontId="0" fillId="12" borderId="5" xfId="0" applyFill="1" applyBorder="1" applyAlignment="1">
      <alignment horizontal="right"/>
    </xf>
    <xf numFmtId="0" fontId="0" fillId="12" borderId="0" xfId="0" applyFill="1" applyBorder="1" applyAlignment="1" quotePrefix="1">
      <alignment horizontal="right"/>
    </xf>
    <xf numFmtId="0" fontId="0" fillId="0" borderId="0" xfId="0" applyFill="1" applyBorder="1" applyAlignment="1" quotePrefix="1">
      <alignment horizontal="right"/>
    </xf>
    <xf numFmtId="0" fontId="0" fillId="3" borderId="5" xfId="0" applyFill="1" applyBorder="1" applyAlignment="1">
      <alignment horizontal="right"/>
    </xf>
    <xf numFmtId="0" fontId="0" fillId="3" borderId="6" xfId="0" applyFill="1" applyBorder="1" applyAlignment="1">
      <alignment horizontal="right"/>
    </xf>
    <xf numFmtId="0" fontId="0" fillId="3" borderId="0" xfId="0" applyFill="1" applyBorder="1" applyAlignment="1">
      <alignment horizontal="right"/>
    </xf>
    <xf numFmtId="0" fontId="0" fillId="3" borderId="7" xfId="0" applyFill="1" applyBorder="1" applyAlignment="1">
      <alignment horizontal="right"/>
    </xf>
    <xf numFmtId="0" fontId="0" fillId="3" borderId="27" xfId="0" applyFill="1" applyBorder="1" applyAlignment="1">
      <alignment horizontal="right"/>
    </xf>
    <xf numFmtId="2" fontId="8" fillId="2" borderId="9" xfId="0" applyNumberFormat="1" applyFont="1" applyFill="1" applyBorder="1" applyAlignment="1">
      <alignment horizontal="right"/>
    </xf>
    <xf numFmtId="180" fontId="103" fillId="8" borderId="7" xfId="21" applyNumberFormat="1" applyFont="1" applyFill="1" applyBorder="1">
      <alignment/>
      <protection/>
    </xf>
    <xf numFmtId="180" fontId="104" fillId="10" borderId="27" xfId="21" applyNumberFormat="1" applyFont="1" applyFill="1" applyBorder="1">
      <alignment/>
      <protection/>
    </xf>
    <xf numFmtId="180" fontId="17" fillId="8" borderId="7" xfId="0" applyNumberFormat="1" applyFont="1" applyFill="1" applyBorder="1" applyAlignment="1">
      <alignment/>
    </xf>
    <xf numFmtId="2" fontId="102" fillId="13" borderId="27" xfId="0" applyNumberFormat="1" applyFont="1" applyFill="1" applyBorder="1" applyAlignment="1">
      <alignment/>
    </xf>
    <xf numFmtId="180" fontId="91" fillId="8" borderId="7" xfId="0" applyNumberFormat="1" applyFont="1" applyFill="1" applyBorder="1" applyAlignment="1">
      <alignment/>
    </xf>
    <xf numFmtId="180" fontId="96" fillId="10" borderId="8" xfId="0" applyNumberFormat="1" applyFont="1" applyFill="1" applyBorder="1" applyAlignment="1">
      <alignment/>
    </xf>
    <xf numFmtId="180" fontId="17" fillId="8" borderId="8" xfId="0" applyNumberFormat="1" applyFont="1" applyFill="1" applyBorder="1" applyAlignment="1">
      <alignment/>
    </xf>
    <xf numFmtId="180" fontId="17" fillId="8" borderId="27" xfId="0" applyNumberFormat="1" applyFont="1" applyFill="1" applyBorder="1" applyAlignment="1">
      <alignment/>
    </xf>
    <xf numFmtId="2" fontId="72" fillId="2" borderId="0" xfId="0" applyNumberFormat="1" applyFont="1" applyFill="1" applyBorder="1" applyAlignment="1">
      <alignment/>
    </xf>
    <xf numFmtId="2" fontId="9" fillId="2" borderId="3" xfId="0" applyNumberFormat="1" applyFont="1" applyFill="1" applyBorder="1" applyAlignment="1">
      <alignment/>
    </xf>
    <xf numFmtId="2" fontId="9" fillId="2" borderId="25" xfId="0" applyNumberFormat="1" applyFont="1" applyFill="1" applyBorder="1" applyAlignment="1">
      <alignment/>
    </xf>
    <xf numFmtId="2" fontId="9" fillId="2" borderId="1" xfId="0" applyNumberFormat="1" applyFont="1" applyFill="1" applyBorder="1" applyAlignment="1">
      <alignment/>
    </xf>
    <xf numFmtId="2" fontId="9" fillId="2" borderId="4" xfId="0" applyNumberFormat="1" applyFont="1" applyFill="1" applyBorder="1" applyAlignment="1">
      <alignment/>
    </xf>
    <xf numFmtId="0" fontId="71" fillId="2" borderId="1" xfId="0" applyFont="1" applyFill="1" applyBorder="1" applyAlignment="1">
      <alignment/>
    </xf>
    <xf numFmtId="2" fontId="9" fillId="2" borderId="0" xfId="0" applyNumberFormat="1" applyFont="1" applyFill="1" applyAlignment="1">
      <alignment/>
    </xf>
    <xf numFmtId="2" fontId="9" fillId="2" borderId="26" xfId="0" applyNumberFormat="1" applyFont="1" applyFill="1" applyBorder="1" applyAlignment="1">
      <alignment/>
    </xf>
    <xf numFmtId="2" fontId="9" fillId="2" borderId="31" xfId="0" applyNumberFormat="1" applyFont="1" applyFill="1" applyBorder="1" applyAlignment="1">
      <alignment/>
    </xf>
    <xf numFmtId="189" fontId="9" fillId="2" borderId="5" xfId="0" applyNumberFormat="1" applyFont="1" applyFill="1" applyBorder="1" applyAlignment="1">
      <alignment/>
    </xf>
    <xf numFmtId="189" fontId="9" fillId="2" borderId="26" xfId="0" applyNumberFormat="1" applyFont="1" applyFill="1" applyBorder="1" applyAlignment="1">
      <alignment/>
    </xf>
    <xf numFmtId="189" fontId="9" fillId="2" borderId="0" xfId="0" applyNumberFormat="1" applyFont="1" applyFill="1" applyBorder="1" applyAlignment="1">
      <alignment/>
    </xf>
    <xf numFmtId="189" fontId="9" fillId="2" borderId="6" xfId="0" applyNumberFormat="1" applyFont="1" applyFill="1" applyBorder="1" applyAlignment="1">
      <alignment/>
    </xf>
    <xf numFmtId="189" fontId="9" fillId="2" borderId="0" xfId="0" applyNumberFormat="1" applyFont="1" applyFill="1" applyAlignment="1">
      <alignment/>
    </xf>
    <xf numFmtId="2" fontId="9" fillId="2" borderId="5" xfId="0" applyNumberFormat="1" applyFont="1" applyFill="1" applyBorder="1" applyAlignment="1">
      <alignment horizontal="right"/>
    </xf>
    <xf numFmtId="2" fontId="9" fillId="2" borderId="26" xfId="0" applyNumberFormat="1" applyFont="1" applyFill="1" applyBorder="1" applyAlignment="1">
      <alignment horizontal="right"/>
    </xf>
    <xf numFmtId="0" fontId="9" fillId="2" borderId="5" xfId="0" applyFont="1" applyFill="1" applyBorder="1" applyAlignment="1">
      <alignment horizontal="right"/>
    </xf>
    <xf numFmtId="2" fontId="9" fillId="2" borderId="0" xfId="0" applyNumberFormat="1" applyFont="1" applyFill="1" applyBorder="1" applyAlignment="1">
      <alignment horizontal="right"/>
    </xf>
    <xf numFmtId="2" fontId="9" fillId="2" borderId="6" xfId="0" applyNumberFormat="1" applyFont="1" applyFill="1" applyBorder="1" applyAlignment="1">
      <alignment horizontal="right"/>
    </xf>
    <xf numFmtId="2" fontId="9" fillId="2" borderId="0" xfId="0" applyNumberFormat="1" applyFont="1" applyFill="1" applyAlignment="1">
      <alignment horizontal="right"/>
    </xf>
    <xf numFmtId="2" fontId="9" fillId="2" borderId="32" xfId="0" applyNumberFormat="1" applyFont="1" applyFill="1" applyBorder="1" applyAlignment="1">
      <alignment horizontal="right"/>
    </xf>
    <xf numFmtId="181" fontId="105" fillId="10" borderId="5" xfId="0" applyNumberFormat="1" applyFont="1" applyFill="1" applyBorder="1" applyAlignment="1">
      <alignment horizontal="right"/>
    </xf>
    <xf numFmtId="181" fontId="96" fillId="10" borderId="26" xfId="0" applyNumberFormat="1" applyFont="1" applyFill="1" applyBorder="1" applyAlignment="1">
      <alignment horizontal="right"/>
    </xf>
    <xf numFmtId="181" fontId="105" fillId="10" borderId="0" xfId="0" applyNumberFormat="1" applyFont="1" applyFill="1" applyBorder="1" applyAlignment="1">
      <alignment horizontal="right"/>
    </xf>
    <xf numFmtId="181" fontId="105" fillId="10" borderId="6" xfId="0" applyNumberFormat="1" applyFont="1" applyFill="1" applyBorder="1" applyAlignment="1">
      <alignment horizontal="right"/>
    </xf>
    <xf numFmtId="181" fontId="105" fillId="10" borderId="0" xfId="0" applyNumberFormat="1" applyFont="1" applyFill="1" applyAlignment="1">
      <alignment horizontal="right"/>
    </xf>
    <xf numFmtId="189" fontId="17" fillId="12" borderId="5" xfId="0" applyNumberFormat="1" applyFont="1" applyFill="1" applyBorder="1" applyAlignment="1">
      <alignment/>
    </xf>
    <xf numFmtId="0" fontId="0" fillId="12" borderId="6" xfId="0" applyFill="1" applyBorder="1" applyAlignment="1">
      <alignment/>
    </xf>
    <xf numFmtId="189" fontId="17" fillId="12" borderId="26" xfId="0" applyNumberFormat="1" applyFont="1" applyFill="1" applyBorder="1" applyAlignment="1">
      <alignment/>
    </xf>
    <xf numFmtId="0" fontId="17" fillId="12" borderId="5" xfId="0" applyFont="1" applyFill="1" applyBorder="1" applyAlignment="1">
      <alignment/>
    </xf>
    <xf numFmtId="0" fontId="17" fillId="12" borderId="0" xfId="0" applyFont="1" applyFill="1" applyBorder="1" applyAlignment="1">
      <alignment/>
    </xf>
    <xf numFmtId="0" fontId="17" fillId="12" borderId="6" xfId="0" applyFont="1" applyFill="1" applyBorder="1" applyAlignment="1">
      <alignment/>
    </xf>
    <xf numFmtId="189" fontId="17" fillId="12" borderId="6" xfId="0" applyNumberFormat="1" applyFont="1" applyFill="1" applyBorder="1" applyAlignment="1">
      <alignment/>
    </xf>
    <xf numFmtId="189" fontId="17" fillId="12" borderId="0" xfId="0" applyNumberFormat="1" applyFont="1" applyFill="1" applyAlignment="1">
      <alignment/>
    </xf>
    <xf numFmtId="0" fontId="17" fillId="12" borderId="0" xfId="0" applyFont="1" applyFill="1" applyAlignment="1">
      <alignment/>
    </xf>
    <xf numFmtId="189" fontId="17" fillId="3" borderId="7" xfId="0" applyNumberFormat="1" applyFont="1" applyFill="1" applyBorder="1" applyAlignment="1">
      <alignment/>
    </xf>
    <xf numFmtId="0" fontId="0" fillId="3" borderId="27" xfId="0" applyFill="1" applyBorder="1" applyAlignment="1">
      <alignment/>
    </xf>
    <xf numFmtId="189" fontId="17" fillId="3" borderId="9" xfId="0" applyNumberFormat="1" applyFont="1" applyFill="1" applyBorder="1" applyAlignment="1">
      <alignment/>
    </xf>
    <xf numFmtId="0" fontId="17" fillId="3" borderId="7" xfId="0" applyFont="1" applyFill="1" applyBorder="1" applyAlignment="1">
      <alignment/>
    </xf>
    <xf numFmtId="0" fontId="17" fillId="3" borderId="8" xfId="0" applyFont="1" applyFill="1" applyBorder="1" applyAlignment="1">
      <alignment/>
    </xf>
    <xf numFmtId="0" fontId="17" fillId="3" borderId="27" xfId="0" applyFont="1" applyFill="1" applyBorder="1" applyAlignment="1">
      <alignment/>
    </xf>
    <xf numFmtId="189" fontId="17" fillId="3" borderId="27" xfId="0" applyNumberFormat="1" applyFont="1" applyFill="1" applyBorder="1" applyAlignment="1">
      <alignment/>
    </xf>
    <xf numFmtId="189" fontId="17" fillId="3" borderId="0" xfId="0" applyNumberFormat="1" applyFont="1" applyFill="1" applyAlignment="1">
      <alignment/>
    </xf>
    <xf numFmtId="0" fontId="17" fillId="3" borderId="0" xfId="0" applyFont="1" applyFill="1" applyAlignment="1">
      <alignment/>
    </xf>
    <xf numFmtId="180" fontId="91" fillId="8" borderId="25" xfId="0" applyNumberFormat="1" applyFont="1" applyFill="1" applyBorder="1" applyAlignment="1">
      <alignment/>
    </xf>
    <xf numFmtId="180" fontId="91" fillId="8" borderId="26" xfId="0" applyNumberFormat="1" applyFont="1" applyFill="1" applyBorder="1" applyAlignment="1">
      <alignment/>
    </xf>
    <xf numFmtId="180" fontId="91" fillId="8" borderId="9" xfId="0" applyNumberFormat="1" applyFont="1" applyFill="1" applyBorder="1" applyAlignment="1">
      <alignment/>
    </xf>
    <xf numFmtId="180" fontId="91" fillId="8" borderId="4" xfId="0" applyNumberFormat="1" applyFont="1" applyFill="1" applyBorder="1" applyAlignment="1">
      <alignment/>
    </xf>
    <xf numFmtId="180" fontId="91" fillId="8" borderId="6" xfId="0" applyNumberFormat="1" applyFont="1" applyFill="1" applyBorder="1" applyAlignment="1">
      <alignment/>
    </xf>
    <xf numFmtId="180" fontId="91" fillId="8" borderId="27" xfId="0" applyNumberFormat="1" applyFont="1" applyFill="1" applyBorder="1" applyAlignment="1">
      <alignment/>
    </xf>
    <xf numFmtId="2" fontId="9" fillId="2" borderId="33" xfId="0" applyNumberFormat="1" applyFont="1" applyFill="1" applyBorder="1" applyAlignment="1">
      <alignment/>
    </xf>
    <xf numFmtId="181" fontId="105" fillId="10" borderId="26" xfId="0" applyNumberFormat="1" applyFont="1" applyFill="1" applyBorder="1" applyAlignment="1">
      <alignment horizontal="right"/>
    </xf>
    <xf numFmtId="0" fontId="4" fillId="0" borderId="3" xfId="0" applyFont="1" applyBorder="1" applyAlignment="1">
      <alignment/>
    </xf>
    <xf numFmtId="0" fontId="0" fillId="0" borderId="1" xfId="0" applyFont="1" applyBorder="1" applyAlignment="1">
      <alignment/>
    </xf>
    <xf numFmtId="0" fontId="0" fillId="0" borderId="1" xfId="0" applyFont="1" applyBorder="1" applyAlignment="1">
      <alignment vertical="top"/>
    </xf>
    <xf numFmtId="2" fontId="70" fillId="2" borderId="16" xfId="0" applyNumberFormat="1" applyFont="1" applyFill="1" applyBorder="1" applyAlignment="1">
      <alignment horizontal="center" vertical="top"/>
    </xf>
    <xf numFmtId="2" fontId="70" fillId="2" borderId="8" xfId="0" applyNumberFormat="1" applyFont="1" applyFill="1" applyBorder="1" applyAlignment="1">
      <alignment horizontal="center" vertical="top"/>
    </xf>
    <xf numFmtId="0" fontId="4" fillId="0" borderId="34" xfId="0" applyFont="1" applyBorder="1" applyAlignment="1">
      <alignment horizontal="right" vertical="top"/>
    </xf>
    <xf numFmtId="0" fontId="4" fillId="0" borderId="8" xfId="0" applyFont="1" applyBorder="1" applyAlignment="1">
      <alignment vertical="top"/>
    </xf>
    <xf numFmtId="0" fontId="2" fillId="0" borderId="8" xfId="0" applyFont="1" applyBorder="1" applyAlignment="1">
      <alignment vertical="top"/>
    </xf>
    <xf numFmtId="0" fontId="4" fillId="0" borderId="7" xfId="0" applyFont="1" applyBorder="1" applyAlignment="1">
      <alignment/>
    </xf>
    <xf numFmtId="0" fontId="2" fillId="0" borderId="1" xfId="0" applyFont="1" applyBorder="1" applyAlignment="1">
      <alignment horizontal="left" vertical="top"/>
    </xf>
    <xf numFmtId="0" fontId="2" fillId="0" borderId="8" xfId="0" applyFont="1" applyBorder="1" applyAlignment="1">
      <alignment horizontal="right" vertical="top"/>
    </xf>
    <xf numFmtId="0" fontId="18" fillId="0" borderId="0" xfId="0" applyFont="1" applyBorder="1" applyAlignment="1">
      <alignment horizontal="right"/>
    </xf>
    <xf numFmtId="0" fontId="0" fillId="0" borderId="1" xfId="0" applyFont="1" applyBorder="1" applyAlignment="1">
      <alignment horizontal="right"/>
    </xf>
    <xf numFmtId="0" fontId="87" fillId="0" borderId="1" xfId="0" applyFont="1" applyBorder="1" applyAlignment="1">
      <alignment horizontal="center"/>
    </xf>
    <xf numFmtId="180" fontId="71" fillId="0" borderId="4" xfId="0" applyNumberFormat="1" applyFont="1" applyFill="1" applyBorder="1" applyAlignment="1">
      <alignment/>
    </xf>
    <xf numFmtId="0" fontId="4" fillId="0" borderId="5" xfId="0" applyFont="1" applyBorder="1" applyAlignment="1">
      <alignment/>
    </xf>
    <xf numFmtId="180" fontId="71" fillId="0" borderId="6" xfId="0" applyNumberFormat="1" applyFont="1" applyFill="1" applyBorder="1" applyAlignment="1">
      <alignment/>
    </xf>
    <xf numFmtId="180" fontId="71" fillId="2" borderId="6" xfId="0" applyNumberFormat="1" applyFont="1" applyFill="1" applyBorder="1" applyAlignment="1">
      <alignment/>
    </xf>
    <xf numFmtId="182" fontId="72" fillId="2" borderId="6" xfId="0" applyNumberFormat="1" applyFont="1" applyFill="1" applyBorder="1" applyAlignment="1">
      <alignment/>
    </xf>
    <xf numFmtId="182" fontId="71" fillId="0" borderId="6" xfId="0" applyNumberFormat="1" applyFont="1" applyFill="1" applyBorder="1" applyAlignment="1">
      <alignment/>
    </xf>
    <xf numFmtId="180" fontId="72" fillId="2" borderId="6" xfId="0" applyNumberFormat="1" applyFont="1" applyFill="1" applyBorder="1" applyAlignment="1">
      <alignment/>
    </xf>
    <xf numFmtId="0" fontId="4" fillId="0" borderId="0" xfId="0" applyFont="1" applyBorder="1" applyAlignment="1">
      <alignment horizontal="right"/>
    </xf>
    <xf numFmtId="180" fontId="72" fillId="0" borderId="6" xfId="0" applyNumberFormat="1" applyFont="1" applyFill="1" applyBorder="1" applyAlignment="1">
      <alignment/>
    </xf>
    <xf numFmtId="0" fontId="70" fillId="2" borderId="6" xfId="0" applyFont="1" applyFill="1" applyBorder="1" applyAlignment="1">
      <alignment/>
    </xf>
    <xf numFmtId="0" fontId="6" fillId="0" borderId="5" xfId="0" applyFont="1" applyBorder="1" applyAlignment="1">
      <alignment/>
    </xf>
    <xf numFmtId="180" fontId="17" fillId="2" borderId="6" xfId="0" applyNumberFormat="1" applyFont="1" applyFill="1" applyBorder="1" applyAlignment="1">
      <alignment horizontal="right"/>
    </xf>
    <xf numFmtId="0" fontId="0" fillId="0" borderId="0" xfId="0" applyFont="1" applyBorder="1" applyAlignment="1">
      <alignment horizontal="right"/>
    </xf>
    <xf numFmtId="0" fontId="87" fillId="0" borderId="0" xfId="0" applyFont="1" applyBorder="1" applyAlignment="1">
      <alignment horizontal="center"/>
    </xf>
    <xf numFmtId="180" fontId="9" fillId="2" borderId="6" xfId="0" applyNumberFormat="1" applyFont="1" applyFill="1" applyBorder="1" applyAlignment="1">
      <alignment/>
    </xf>
    <xf numFmtId="180" fontId="17" fillId="2" borderId="6" xfId="0" applyNumberFormat="1" applyFont="1" applyFill="1" applyBorder="1" applyAlignment="1">
      <alignment/>
    </xf>
    <xf numFmtId="0" fontId="0" fillId="0" borderId="7" xfId="0" applyBorder="1" applyAlignment="1">
      <alignment/>
    </xf>
    <xf numFmtId="0" fontId="2" fillId="0" borderId="8" xfId="0" applyFont="1" applyBorder="1" applyAlignment="1">
      <alignment horizontal="center"/>
    </xf>
    <xf numFmtId="180" fontId="74" fillId="2" borderId="27" xfId="0" applyNumberFormat="1" applyFont="1" applyFill="1" applyBorder="1" applyAlignment="1">
      <alignment/>
    </xf>
    <xf numFmtId="2" fontId="70" fillId="2" borderId="3" xfId="0" applyNumberFormat="1" applyFont="1" applyFill="1" applyBorder="1" applyAlignment="1">
      <alignment/>
    </xf>
    <xf numFmtId="0" fontId="70" fillId="2" borderId="5" xfId="0" applyFont="1" applyFill="1" applyBorder="1" applyAlignment="1">
      <alignment/>
    </xf>
    <xf numFmtId="0" fontId="70" fillId="2" borderId="4" xfId="0" applyFont="1" applyFill="1" applyBorder="1" applyAlignment="1">
      <alignment/>
    </xf>
    <xf numFmtId="0" fontId="70" fillId="2" borderId="27" xfId="0" applyFont="1" applyFill="1" applyBorder="1" applyAlignment="1">
      <alignment/>
    </xf>
    <xf numFmtId="1" fontId="17" fillId="2" borderId="0" xfId="0" applyNumberFormat="1" applyFont="1" applyFill="1" applyBorder="1" applyAlignment="1">
      <alignment/>
    </xf>
    <xf numFmtId="180" fontId="6" fillId="2" borderId="0" xfId="0" applyNumberFormat="1" applyFont="1" applyFill="1" applyBorder="1" applyAlignment="1">
      <alignment/>
    </xf>
    <xf numFmtId="0" fontId="4" fillId="6" borderId="10" xfId="0" applyFont="1" applyFill="1" applyBorder="1" applyAlignment="1">
      <alignment horizontal="left" vertical="center"/>
    </xf>
    <xf numFmtId="0" fontId="6" fillId="8" borderId="0" xfId="0" applyFont="1" applyFill="1" applyAlignment="1">
      <alignment/>
    </xf>
    <xf numFmtId="185" fontId="9" fillId="2" borderId="0" xfId="0" applyNumberFormat="1" applyFont="1" applyFill="1" applyBorder="1" applyAlignment="1">
      <alignment/>
    </xf>
    <xf numFmtId="0" fontId="16" fillId="0" borderId="3" xfId="0" applyFont="1" applyBorder="1" applyAlignment="1">
      <alignment/>
    </xf>
    <xf numFmtId="189" fontId="6" fillId="8" borderId="4" xfId="0" applyNumberFormat="1" applyFont="1" applyFill="1" applyBorder="1" applyAlignment="1">
      <alignment/>
    </xf>
    <xf numFmtId="0" fontId="16" fillId="0" borderId="5" xfId="0" applyFont="1" applyFill="1" applyBorder="1" applyAlignment="1">
      <alignment/>
    </xf>
    <xf numFmtId="189" fontId="6" fillId="0" borderId="6" xfId="0" applyNumberFormat="1" applyFont="1" applyFill="1" applyBorder="1" applyAlignment="1">
      <alignment/>
    </xf>
    <xf numFmtId="0" fontId="16" fillId="0" borderId="5" xfId="0" applyFont="1" applyBorder="1" applyAlignment="1">
      <alignment/>
    </xf>
    <xf numFmtId="180" fontId="17" fillId="0" borderId="0" xfId="0" applyNumberFormat="1" applyFont="1" applyFill="1" applyBorder="1" applyAlignment="1">
      <alignment/>
    </xf>
    <xf numFmtId="0" fontId="34" fillId="0" borderId="6" xfId="0" applyFont="1" applyBorder="1" applyAlignment="1">
      <alignment/>
    </xf>
    <xf numFmtId="180" fontId="21" fillId="2" borderId="0" xfId="0" applyNumberFormat="1" applyFont="1" applyFill="1" applyBorder="1" applyAlignment="1">
      <alignment/>
    </xf>
    <xf numFmtId="189" fontId="6" fillId="8" borderId="6" xfId="0" applyNumberFormat="1" applyFont="1" applyFill="1" applyBorder="1" applyAlignment="1">
      <alignment/>
    </xf>
    <xf numFmtId="0" fontId="1" fillId="0" borderId="0" xfId="0" applyFont="1" applyBorder="1" applyAlignment="1">
      <alignment/>
    </xf>
    <xf numFmtId="0" fontId="6" fillId="0" borderId="0" xfId="0" applyFont="1" applyBorder="1" applyAlignment="1">
      <alignment/>
    </xf>
    <xf numFmtId="0" fontId="17" fillId="0" borderId="0" xfId="0" applyFont="1" applyFill="1" applyBorder="1" applyAlignment="1">
      <alignment/>
    </xf>
    <xf numFmtId="0" fontId="20" fillId="8" borderId="0" xfId="0" applyFont="1" applyFill="1" applyBorder="1" applyAlignment="1">
      <alignment/>
    </xf>
    <xf numFmtId="0" fontId="31" fillId="0" borderId="5" xfId="0" applyFont="1" applyBorder="1" applyAlignment="1">
      <alignment/>
    </xf>
    <xf numFmtId="0" fontId="31" fillId="0" borderId="7" xfId="0" applyFont="1" applyBorder="1" applyAlignment="1">
      <alignment/>
    </xf>
    <xf numFmtId="189" fontId="6" fillId="8" borderId="27" xfId="0" applyNumberFormat="1" applyFont="1" applyFill="1" applyBorder="1" applyAlignment="1">
      <alignment/>
    </xf>
    <xf numFmtId="0" fontId="9" fillId="2" borderId="0" xfId="0" applyFont="1" applyFill="1" applyAlignment="1">
      <alignment/>
    </xf>
    <xf numFmtId="0" fontId="91" fillId="6" borderId="0" xfId="0" applyFont="1" applyFill="1" applyAlignment="1">
      <alignment/>
    </xf>
    <xf numFmtId="0" fontId="23" fillId="6" borderId="0" xfId="0" applyFont="1" applyFill="1" applyAlignment="1">
      <alignment/>
    </xf>
    <xf numFmtId="0" fontId="44" fillId="0" borderId="0" xfId="0" applyFont="1" applyAlignment="1">
      <alignment vertical="top"/>
    </xf>
    <xf numFmtId="0" fontId="44" fillId="0" borderId="0" xfId="0" applyFont="1" applyAlignment="1">
      <alignment/>
    </xf>
    <xf numFmtId="0" fontId="4" fillId="0" borderId="0" xfId="0" applyFont="1" applyBorder="1" applyAlignment="1">
      <alignment horizontal="right"/>
    </xf>
    <xf numFmtId="0" fontId="6" fillId="8" borderId="8" xfId="0" applyFont="1" applyFill="1" applyBorder="1" applyAlignment="1">
      <alignment/>
    </xf>
    <xf numFmtId="2" fontId="114" fillId="2" borderId="11" xfId="0" applyNumberFormat="1" applyFont="1" applyFill="1" applyBorder="1" applyAlignment="1">
      <alignment horizontal="center" vertical="top"/>
    </xf>
    <xf numFmtId="0" fontId="115" fillId="2" borderId="23" xfId="0" applyFont="1" applyFill="1" applyBorder="1" applyAlignment="1">
      <alignment/>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horizontal="center" vertical="center" textRotation="180"/>
    </xf>
    <xf numFmtId="0" fontId="4" fillId="0" borderId="5" xfId="0" applyFont="1" applyBorder="1" applyAlignment="1">
      <alignment horizontal="center" vertical="center" textRotation="180"/>
    </xf>
    <xf numFmtId="0" fontId="4" fillId="0" borderId="7" xfId="0" applyFont="1" applyBorder="1" applyAlignment="1">
      <alignment horizontal="center" vertical="center" textRotation="180"/>
    </xf>
    <xf numFmtId="0" fontId="0" fillId="0" borderId="4" xfId="0" applyBorder="1" applyAlignment="1">
      <alignment horizontal="center" vertical="center" textRotation="180"/>
    </xf>
    <xf numFmtId="0" fontId="0" fillId="0" borderId="6" xfId="0" applyBorder="1" applyAlignment="1">
      <alignment horizontal="center" vertical="center" textRotation="180"/>
    </xf>
    <xf numFmtId="0" fontId="0" fillId="0" borderId="27" xfId="0" applyBorder="1" applyAlignment="1">
      <alignment horizontal="center" vertical="center" textRotation="180"/>
    </xf>
    <xf numFmtId="0" fontId="61" fillId="14" borderId="35" xfId="0" applyFont="1" applyFill="1" applyBorder="1" applyAlignment="1">
      <alignment textRotation="90"/>
    </xf>
    <xf numFmtId="0" fontId="38" fillId="0" borderId="36" xfId="0" applyFont="1" applyBorder="1" applyAlignment="1">
      <alignment/>
    </xf>
    <xf numFmtId="0" fontId="0" fillId="0" borderId="3"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MAGTHIN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55"/>
          <c:y val="0.06625"/>
          <c:w val="0.87575"/>
          <c:h val="0.82375"/>
        </c:manualLayout>
      </c:layout>
      <c:scatterChart>
        <c:scatterStyle val="smooth"/>
        <c:varyColors val="0"/>
        <c:ser>
          <c:idx val="0"/>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'More advanced'!$U$4:$U$103</c:f>
              <c:numCache/>
            </c:numRef>
          </c:xVal>
          <c:yVal>
            <c:numRef>
              <c:f>'More advanced'!$V$4:$V$103</c:f>
              <c:numCache/>
            </c:numRef>
          </c:yVal>
          <c:smooth val="1"/>
        </c:ser>
        <c:axId val="48166283"/>
        <c:axId val="30843364"/>
      </c:scatterChart>
      <c:valAx>
        <c:axId val="48166283"/>
        <c:scaling>
          <c:orientation val="minMax"/>
          <c:max val="1"/>
        </c:scaling>
        <c:axPos val="b"/>
        <c:title>
          <c:tx>
            <c:rich>
              <a:bodyPr vert="horz" rot="0" anchor="ctr"/>
              <a:lstStyle/>
              <a:p>
                <a:pPr algn="ctr">
                  <a:defRPr/>
                </a:pPr>
                <a:r>
                  <a:rPr lang="en-US" cap="none" sz="1025" b="1" i="0" u="none" baseline="0">
                    <a:latin typeface="Arial"/>
                    <a:ea typeface="Arial"/>
                    <a:cs typeface="Arial"/>
                  </a:rPr>
                  <a:t>Proportion of clones (ranked)</a:t>
                </a:r>
              </a:p>
            </c:rich>
          </c:tx>
          <c:layout/>
          <c:overlay val="0"/>
          <c:spPr>
            <a:noFill/>
            <a:ln>
              <a:noFill/>
            </a:ln>
          </c:spPr>
        </c:title>
        <c:delete val="0"/>
        <c:numFmt formatCode="General" sourceLinked="0"/>
        <c:majorTickMark val="out"/>
        <c:minorTickMark val="none"/>
        <c:tickLblPos val="nextTo"/>
        <c:txPr>
          <a:bodyPr/>
          <a:lstStyle/>
          <a:p>
            <a:pPr>
              <a:defRPr lang="en-US" cap="none" sz="925" b="0" i="0" u="none" baseline="0">
                <a:latin typeface="Arial"/>
                <a:ea typeface="Arial"/>
                <a:cs typeface="Arial"/>
              </a:defRPr>
            </a:pPr>
          </a:p>
        </c:txPr>
        <c:crossAx val="30843364"/>
        <c:crosses val="autoZero"/>
        <c:crossBetween val="midCat"/>
        <c:dispUnits/>
        <c:majorUnit val="0.25"/>
        <c:minorUnit val="0.25"/>
      </c:valAx>
      <c:valAx>
        <c:axId val="30843364"/>
        <c:scaling>
          <c:orientation val="minMax"/>
          <c:max val="1"/>
          <c:min val="0"/>
        </c:scaling>
        <c:axPos val="l"/>
        <c:title>
          <c:tx>
            <c:rich>
              <a:bodyPr vert="horz" rot="-5400000" anchor="ctr"/>
              <a:lstStyle/>
              <a:p>
                <a:pPr algn="ctr">
                  <a:defRPr/>
                </a:pPr>
                <a:r>
                  <a:rPr lang="en-US" cap="none" sz="1025" b="1" i="0" u="none" baseline="0">
                    <a:latin typeface="Arial"/>
                    <a:ea typeface="Arial"/>
                    <a:cs typeface="Arial"/>
                  </a:rPr>
                  <a:t>Cumulative contribution</a:t>
                </a:r>
              </a:p>
            </c:rich>
          </c:tx>
          <c:layout/>
          <c:overlay val="0"/>
          <c:spPr>
            <a:noFill/>
            <a:ln>
              <a:noFill/>
            </a:ln>
          </c:spPr>
        </c:title>
        <c:delete val="0"/>
        <c:numFmt formatCode="0.00" sourceLinked="0"/>
        <c:majorTickMark val="out"/>
        <c:minorTickMark val="none"/>
        <c:tickLblPos val="nextTo"/>
        <c:txPr>
          <a:bodyPr/>
          <a:lstStyle/>
          <a:p>
            <a:pPr>
              <a:defRPr lang="en-US" cap="none" sz="925" b="0" i="0" u="none" baseline="0">
                <a:latin typeface="Arial"/>
                <a:ea typeface="Arial"/>
                <a:cs typeface="Arial"/>
              </a:defRPr>
            </a:pPr>
          </a:p>
        </c:txPr>
        <c:crossAx val="48166283"/>
        <c:crosses val="autoZero"/>
        <c:crossBetween val="midCat"/>
        <c:dispUnits/>
        <c:majorUnit val="0.25"/>
        <c:minorUnit val="0.25"/>
      </c:valAx>
      <c:spPr>
        <a:solidFill>
          <a:srgbClr val="FFFF99"/>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25"/>
          <c:y val="0.026"/>
          <c:w val="0.92825"/>
          <c:h val="0.90825"/>
        </c:manualLayout>
      </c:layout>
      <c:scatterChart>
        <c:scatterStyle val="smooth"/>
        <c:varyColors val="0"/>
        <c:ser>
          <c:idx val="0"/>
          <c:order val="0"/>
          <c:tx>
            <c:strRef>
              <c:f>CloneNumberScenarios!$R$31</c:f>
              <c:strCache>
                <c:ptCount val="1"/>
                <c:pt idx="0">
                  <c:v>Benefit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CloneNumberScenarios!$Q$32:$Q$59</c:f>
              <c:numCache/>
            </c:numRef>
          </c:xVal>
          <c:yVal>
            <c:numRef>
              <c:f>CloneNumberScenarios!$R$32:$R$59</c:f>
              <c:numCache/>
            </c:numRef>
          </c:yVal>
          <c:smooth val="1"/>
        </c:ser>
        <c:ser>
          <c:idx val="1"/>
          <c:order val="1"/>
          <c:tx>
            <c:strRef>
              <c:f>CloneNumberScenarios!$S$31</c:f>
              <c:strCache>
                <c:ptCount val="1"/>
                <c:pt idx="0">
                  <c:v>Gain</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CloneNumberScenarios!$Q$32:$Q$59</c:f>
              <c:numCache/>
            </c:numRef>
          </c:xVal>
          <c:yVal>
            <c:numRef>
              <c:f>CloneNumberScenarios!$S$32:$S$59</c:f>
              <c:numCache/>
            </c:numRef>
          </c:yVal>
          <c:smooth val="1"/>
        </c:ser>
        <c:ser>
          <c:idx val="2"/>
          <c:order val="2"/>
          <c:tx>
            <c:strRef>
              <c:f>CloneNumberScenarios!$T$31</c:f>
              <c:strCache>
                <c:ptCount val="1"/>
                <c:pt idx="0">
                  <c:v>Diversity</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CloneNumberScenarios!$Q$32:$Q$59</c:f>
              <c:numCache/>
            </c:numRef>
          </c:xVal>
          <c:yVal>
            <c:numRef>
              <c:f>CloneNumberScenarios!$T$32:$T$59</c:f>
              <c:numCache/>
            </c:numRef>
          </c:yVal>
          <c:smooth val="1"/>
        </c:ser>
        <c:axId val="9154821"/>
        <c:axId val="15284526"/>
      </c:scatterChart>
      <c:valAx>
        <c:axId val="9154821"/>
        <c:scaling>
          <c:orientation val="minMax"/>
          <c:max val="80"/>
        </c:scaling>
        <c:axPos val="b"/>
        <c:title>
          <c:tx>
            <c:rich>
              <a:bodyPr vert="horz" rot="0" anchor="ctr"/>
              <a:lstStyle/>
              <a:p>
                <a:pPr algn="ctr">
                  <a:defRPr/>
                </a:pPr>
                <a:r>
                  <a:rPr lang="en-US" cap="none" sz="1200" b="1" i="0" u="none" baseline="0">
                    <a:latin typeface="Arial"/>
                    <a:ea typeface="Arial"/>
                    <a:cs typeface="Arial"/>
                  </a:rPr>
                  <a:t>Number of clones</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5284526"/>
        <c:crosses val="autoZero"/>
        <c:crossBetween val="midCat"/>
        <c:dispUnits/>
      </c:valAx>
      <c:valAx>
        <c:axId val="15284526"/>
        <c:scaling>
          <c:orientation val="minMax"/>
        </c:scaling>
        <c:axPos val="l"/>
        <c:title>
          <c:tx>
            <c:rich>
              <a:bodyPr vert="horz" rot="-5400000" anchor="ctr"/>
              <a:lstStyle/>
              <a:p>
                <a:pPr algn="ctr">
                  <a:defRPr/>
                </a:pPr>
                <a:r>
                  <a:rPr lang="en-US" cap="none" sz="1200" b="1" i="0" u="none" baseline="0">
                    <a:latin typeface="Arial"/>
                    <a:ea typeface="Arial"/>
                    <a:cs typeface="Arial"/>
                  </a:rPr>
                  <a:t>Benefit, gain and diversity</a:t>
                </a:r>
              </a:p>
            </c:rich>
          </c:tx>
          <c:layout/>
          <c:overlay val="0"/>
          <c:spPr>
            <a:noFill/>
            <a:ln>
              <a:noFill/>
            </a:ln>
          </c:spPr>
        </c:title>
        <c:majorGridlines/>
        <c:delete val="0"/>
        <c:numFmt formatCode="0.0" sourceLinked="0"/>
        <c:majorTickMark val="out"/>
        <c:minorTickMark val="none"/>
        <c:tickLblPos val="nextTo"/>
        <c:txPr>
          <a:bodyPr/>
          <a:lstStyle/>
          <a:p>
            <a:pPr>
              <a:defRPr lang="en-US" cap="none" sz="1200" b="1" i="0" u="none" baseline="0">
                <a:latin typeface="Arial"/>
                <a:ea typeface="Arial"/>
                <a:cs typeface="Arial"/>
              </a:defRPr>
            </a:pPr>
          </a:p>
        </c:txPr>
        <c:crossAx val="9154821"/>
        <c:crosses val="autoZero"/>
        <c:crossBetween val="midCat"/>
        <c:dispUnits/>
      </c:valAx>
      <c:spPr>
        <a:solidFill>
          <a:srgbClr val="C0C0C0"/>
        </a:solidFill>
        <a:ln w="12700">
          <a:solidFill>
            <a:srgbClr val="808080"/>
          </a:solidFill>
        </a:ln>
      </c:spPr>
    </c:plotArea>
    <c:legend>
      <c:legendPos val="r"/>
      <c:layout>
        <c:manualLayout>
          <c:xMode val="edge"/>
          <c:yMode val="edge"/>
          <c:x val="0.17425"/>
          <c:y val="0.5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26"/>
          <c:w val="0.9375"/>
          <c:h val="0.91825"/>
        </c:manualLayout>
      </c:layout>
      <c:scatterChart>
        <c:scatterStyle val="smooth"/>
        <c:varyColors val="0"/>
        <c:ser>
          <c:idx val="0"/>
          <c:order val="0"/>
          <c:tx>
            <c:strRef>
              <c:f>CloneNumberScenarios!$R$31</c:f>
              <c:strCache>
                <c:ptCount val="1"/>
                <c:pt idx="0">
                  <c:v>Benefit</c:v>
                </c:pt>
              </c:strCache>
            </c:strRef>
          </c:tx>
          <c:spPr>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CloneNumberScenarios!$Q$32:$Q$59</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CloneNumberScenarios!$R$32:$R$59</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1"/>
        </c:ser>
        <c:ser>
          <c:idx val="1"/>
          <c:order val="1"/>
          <c:tx>
            <c:strRef>
              <c:f>CloneNumberScenarios!$S$31</c:f>
              <c:strCache>
                <c:ptCount val="1"/>
                <c:pt idx="0">
                  <c:v>Gain</c:v>
                </c:pt>
              </c:strCache>
            </c:strRef>
          </c:tx>
          <c:spPr>
            <a:ln w="38100">
              <a:solidFill>
                <a:srgbClr val="808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CloneNumberScenarios!$Q$32:$Q$59</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CloneNumberScenarios!$N$32:$N$59</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1"/>
        </c:ser>
        <c:ser>
          <c:idx val="2"/>
          <c:order val="2"/>
          <c:tx>
            <c:strRef>
              <c:f>CloneNumberScenarios!$T$31</c:f>
              <c:strCache>
                <c:ptCount val="1"/>
                <c:pt idx="0">
                  <c:v>Diversity</c:v>
                </c:pt>
              </c:strCache>
            </c:strRef>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CloneNumberScenarios!$Q$32:$Q$59</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CloneNumberScenarios!$T$32:$T$59</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1"/>
        </c:ser>
        <c:axId val="3343007"/>
        <c:axId val="30087064"/>
      </c:scatterChart>
      <c:valAx>
        <c:axId val="3343007"/>
        <c:scaling>
          <c:orientation val="minMax"/>
          <c:max val="80"/>
        </c:scaling>
        <c:axPos val="b"/>
        <c:title>
          <c:tx>
            <c:rich>
              <a:bodyPr vert="horz" rot="0" anchor="ctr"/>
              <a:lstStyle/>
              <a:p>
                <a:pPr algn="ctr">
                  <a:defRPr/>
                </a:pPr>
                <a:r>
                  <a:rPr lang="en-US"/>
                  <a:t>Number of clones</a:t>
                </a:r>
              </a:p>
            </c:rich>
          </c:tx>
          <c:layout/>
          <c:overlay val="0"/>
          <c:spPr>
            <a:noFill/>
            <a:ln>
              <a:noFill/>
            </a:ln>
          </c:spPr>
        </c:title>
        <c:delete val="0"/>
        <c:numFmt formatCode="General" sourceLinked="1"/>
        <c:majorTickMark val="out"/>
        <c:minorTickMark val="none"/>
        <c:tickLblPos val="nextTo"/>
        <c:crossAx val="30087064"/>
        <c:crosses val="autoZero"/>
        <c:crossBetween val="midCat"/>
        <c:dispUnits/>
      </c:valAx>
      <c:valAx>
        <c:axId val="30087064"/>
        <c:scaling>
          <c:orientation val="minMax"/>
        </c:scaling>
        <c:axPos val="l"/>
        <c:title>
          <c:tx>
            <c:rich>
              <a:bodyPr vert="horz" rot="-5400000" anchor="ctr"/>
              <a:lstStyle/>
              <a:p>
                <a:pPr algn="ctr">
                  <a:defRPr/>
                </a:pPr>
                <a:r>
                  <a:rPr lang="en-US"/>
                  <a:t>Benefit, gain and diversity</a:t>
                </a:r>
              </a:p>
            </c:rich>
          </c:tx>
          <c:layout/>
          <c:overlay val="0"/>
          <c:spPr>
            <a:noFill/>
            <a:ln>
              <a:noFill/>
            </a:ln>
          </c:spPr>
        </c:title>
        <c:majorGridlines/>
        <c:delete val="0"/>
        <c:numFmt formatCode="0.0" sourceLinked="0"/>
        <c:majorTickMark val="out"/>
        <c:minorTickMark val="none"/>
        <c:tickLblPos val="nextTo"/>
        <c:crossAx val="3343007"/>
        <c:crosses val="autoZero"/>
        <c:crossBetween val="midCat"/>
        <c:dispUnits/>
      </c:valAx>
      <c:spPr>
        <a:solidFill>
          <a:srgbClr val="FFFF99"/>
        </a:solidFill>
      </c:spPr>
    </c:plotArea>
    <c:legend>
      <c:legendPos val="r"/>
      <c:layout>
        <c:manualLayout>
          <c:xMode val="edge"/>
          <c:yMode val="edge"/>
          <c:x val="0.5755"/>
          <c:y val="0.339"/>
        </c:manualLayout>
      </c:layout>
      <c:overlay val="0"/>
    </c:legend>
    <c:plotVisOnly val="1"/>
    <c:dispBlanksAs val="gap"/>
    <c:showDLblsOverMax val="0"/>
  </c:chart>
  <c:txPr>
    <a:bodyPr vert="horz" rot="0"/>
    <a:lstStyle/>
    <a:p>
      <a:pPr>
        <a:defRPr lang="en-US" cap="none" sz="1400" b="1"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26"/>
          <c:w val="0.93725"/>
          <c:h val="0.91825"/>
        </c:manualLayout>
      </c:layout>
      <c:scatterChart>
        <c:scatterStyle val="smooth"/>
        <c:varyColors val="0"/>
        <c:ser>
          <c:idx val="1"/>
          <c:order val="0"/>
          <c:tx>
            <c:strRef>
              <c:f>CloneNumberScenarios!$S$31</c:f>
              <c:strCache>
                <c:ptCount val="1"/>
                <c:pt idx="0">
                  <c:v>Gain</c:v>
                </c:pt>
              </c:strCache>
            </c:strRef>
          </c:tx>
          <c:spPr>
            <a:ln w="38100">
              <a:solidFill>
                <a:srgbClr val="808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CloneNumberScenarios!$Q$32:$Q$59</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CloneNumberScenarios!$S$32:$S$59</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1"/>
        </c:ser>
        <c:ser>
          <c:idx val="2"/>
          <c:order val="1"/>
          <c:tx>
            <c:strRef>
              <c:f>CloneNumberScenarios!$T$31</c:f>
              <c:strCache>
                <c:ptCount val="1"/>
                <c:pt idx="0">
                  <c:v>Diversity</c:v>
                </c:pt>
              </c:strCache>
            </c:strRef>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CloneNumberScenarios!$Q$32:$Q$59</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CloneNumberScenarios!$T$32:$T$59</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1"/>
        </c:ser>
        <c:axId val="2348121"/>
        <c:axId val="21133090"/>
      </c:scatterChart>
      <c:valAx>
        <c:axId val="2348121"/>
        <c:scaling>
          <c:orientation val="minMax"/>
          <c:max val="80"/>
        </c:scaling>
        <c:axPos val="b"/>
        <c:title>
          <c:tx>
            <c:rich>
              <a:bodyPr vert="horz" rot="0" anchor="ctr"/>
              <a:lstStyle/>
              <a:p>
                <a:pPr algn="ctr">
                  <a:defRPr/>
                </a:pPr>
                <a:r>
                  <a:rPr lang="en-US"/>
                  <a:t>Number of clones</a:t>
                </a:r>
              </a:p>
            </c:rich>
          </c:tx>
          <c:layout/>
          <c:overlay val="0"/>
          <c:spPr>
            <a:noFill/>
            <a:ln>
              <a:noFill/>
            </a:ln>
          </c:spPr>
        </c:title>
        <c:delete val="0"/>
        <c:numFmt formatCode="General" sourceLinked="1"/>
        <c:majorTickMark val="out"/>
        <c:minorTickMark val="none"/>
        <c:tickLblPos val="nextTo"/>
        <c:crossAx val="21133090"/>
        <c:crosses val="autoZero"/>
        <c:crossBetween val="midCat"/>
        <c:dispUnits/>
      </c:valAx>
      <c:valAx>
        <c:axId val="21133090"/>
        <c:scaling>
          <c:orientation val="minMax"/>
        </c:scaling>
        <c:axPos val="l"/>
        <c:majorGridlines/>
        <c:delete val="0"/>
        <c:numFmt formatCode="0.0" sourceLinked="0"/>
        <c:majorTickMark val="out"/>
        <c:minorTickMark val="none"/>
        <c:tickLblPos val="nextTo"/>
        <c:crossAx val="2348121"/>
        <c:crosses val="autoZero"/>
        <c:crossBetween val="midCat"/>
        <c:dispUnits/>
      </c:valAx>
      <c:spPr>
        <a:solidFill>
          <a:srgbClr val="FFFF99"/>
        </a:solidFill>
      </c:spPr>
    </c:plotArea>
    <c:legend>
      <c:legendPos val="r"/>
      <c:layout>
        <c:manualLayout>
          <c:xMode val="edge"/>
          <c:yMode val="edge"/>
          <c:x val="0.1905"/>
          <c:y val="0.592"/>
        </c:manualLayout>
      </c:layout>
      <c:overlay val="0"/>
    </c:legend>
    <c:plotVisOnly val="1"/>
    <c:dispBlanksAs val="gap"/>
    <c:showDLblsOverMax val="0"/>
  </c:chart>
  <c:txPr>
    <a:bodyPr vert="horz" rot="0"/>
    <a:lstStyle/>
    <a:p>
      <a:pPr>
        <a:defRPr lang="en-US" cap="none" sz="1400" b="1"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1.emf" /><Relationship Id="rId2" Type="http://schemas.openxmlformats.org/officeDocument/2006/relationships/image" Target="../media/image42.emf" /><Relationship Id="rId3" Type="http://schemas.openxmlformats.org/officeDocument/2006/relationships/image" Target="../media/image40.emf" /><Relationship Id="rId4" Type="http://schemas.openxmlformats.org/officeDocument/2006/relationships/image" Target="../media/image43.emf" /><Relationship Id="rId5" Type="http://schemas.openxmlformats.org/officeDocument/2006/relationships/image" Target="../media/image4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10.emf" /><Relationship Id="rId3" Type="http://schemas.openxmlformats.org/officeDocument/2006/relationships/image" Target="../media/image34.emf" /><Relationship Id="rId4" Type="http://schemas.openxmlformats.org/officeDocument/2006/relationships/image" Target="../media/image39.emf" /><Relationship Id="rId5" Type="http://schemas.openxmlformats.org/officeDocument/2006/relationships/image" Target="../media/image22.emf" /><Relationship Id="rId6" Type="http://schemas.openxmlformats.org/officeDocument/2006/relationships/image" Target="../media/image31.emf" /><Relationship Id="rId7" Type="http://schemas.openxmlformats.org/officeDocument/2006/relationships/image" Target="../media/image36.emf" /><Relationship Id="rId8" Type="http://schemas.openxmlformats.org/officeDocument/2006/relationships/image" Target="../media/image25.emf" /><Relationship Id="rId9" Type="http://schemas.openxmlformats.org/officeDocument/2006/relationships/image" Target="../media/image24.emf" /><Relationship Id="rId10" Type="http://schemas.openxmlformats.org/officeDocument/2006/relationships/image" Target="../media/image2.emf" /><Relationship Id="rId11" Type="http://schemas.openxmlformats.org/officeDocument/2006/relationships/image" Target="../media/image3.emf" /><Relationship Id="rId12" Type="http://schemas.openxmlformats.org/officeDocument/2006/relationships/image" Target="../media/image4.emf" /><Relationship Id="rId13" Type="http://schemas.openxmlformats.org/officeDocument/2006/relationships/image" Target="../media/image8.emf" /><Relationship Id="rId14" Type="http://schemas.openxmlformats.org/officeDocument/2006/relationships/image" Target="../media/image2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7.emf" /><Relationship Id="rId3" Type="http://schemas.openxmlformats.org/officeDocument/2006/relationships/image" Target="../media/image13.emf" /><Relationship Id="rId4" Type="http://schemas.openxmlformats.org/officeDocument/2006/relationships/image" Target="../media/image5.emf" /><Relationship Id="rId5" Type="http://schemas.openxmlformats.org/officeDocument/2006/relationships/image" Target="../media/image1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29.emf" /><Relationship Id="rId3" Type="http://schemas.openxmlformats.org/officeDocument/2006/relationships/image" Target="../media/image16.emf" /><Relationship Id="rId4" Type="http://schemas.openxmlformats.org/officeDocument/2006/relationships/image" Target="../media/image19.emf" /><Relationship Id="rId5" Type="http://schemas.openxmlformats.org/officeDocument/2006/relationships/image" Target="../media/image35.wmf" /><Relationship Id="rId6" Type="http://schemas.openxmlformats.org/officeDocument/2006/relationships/image" Target="../media/image18.emf" /><Relationship Id="rId7" Type="http://schemas.openxmlformats.org/officeDocument/2006/relationships/image" Target="../media/image26.emf" /><Relationship Id="rId8" Type="http://schemas.openxmlformats.org/officeDocument/2006/relationships/image" Target="../media/image12.emf" /><Relationship Id="rId9" Type="http://schemas.openxmlformats.org/officeDocument/2006/relationships/image" Target="../media/image32.emf" /><Relationship Id="rId10" Type="http://schemas.openxmlformats.org/officeDocument/2006/relationships/image" Target="../media/image37.emf" /><Relationship Id="rId11" Type="http://schemas.openxmlformats.org/officeDocument/2006/relationships/image" Target="../media/image6.emf" /><Relationship Id="rId12" Type="http://schemas.openxmlformats.org/officeDocument/2006/relationships/image" Target="../media/image11.emf" /><Relationship Id="rId13" Type="http://schemas.openxmlformats.org/officeDocument/2006/relationships/image" Target="../media/image33.emf" /><Relationship Id="rId14" Type="http://schemas.openxmlformats.org/officeDocument/2006/relationships/image" Target="../media/image28.emf" /><Relationship Id="rId15" Type="http://schemas.openxmlformats.org/officeDocument/2006/relationships/image" Target="../media/image14.emf" /><Relationship Id="rId16" Type="http://schemas.openxmlformats.org/officeDocument/2006/relationships/image" Target="../media/image38.emf" /><Relationship Id="rId17" Type="http://schemas.openxmlformats.org/officeDocument/2006/relationships/image" Target="../media/image2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emf" /><Relationship Id="rId3" Type="http://schemas.openxmlformats.org/officeDocument/2006/relationships/image" Target="../media/image3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19</xdr:row>
      <xdr:rowOff>57150</xdr:rowOff>
    </xdr:from>
    <xdr:to>
      <xdr:col>25</xdr:col>
      <xdr:colOff>9525</xdr:colOff>
      <xdr:row>37</xdr:row>
      <xdr:rowOff>104775</xdr:rowOff>
    </xdr:to>
    <xdr:graphicFrame>
      <xdr:nvGraphicFramePr>
        <xdr:cNvPr id="1" name="Chart 5"/>
        <xdr:cNvGraphicFramePr/>
      </xdr:nvGraphicFramePr>
      <xdr:xfrm>
        <a:off x="9582150" y="3714750"/>
        <a:ext cx="3819525" cy="2962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34</xdr:row>
      <xdr:rowOff>19050</xdr:rowOff>
    </xdr:from>
    <xdr:to>
      <xdr:col>9</xdr:col>
      <xdr:colOff>47625</xdr:colOff>
      <xdr:row>55</xdr:row>
      <xdr:rowOff>9525</xdr:rowOff>
    </xdr:to>
    <xdr:graphicFrame>
      <xdr:nvGraphicFramePr>
        <xdr:cNvPr id="1" name="Chart 23"/>
        <xdr:cNvGraphicFramePr/>
      </xdr:nvGraphicFramePr>
      <xdr:xfrm>
        <a:off x="857250" y="6038850"/>
        <a:ext cx="4676775" cy="3390900"/>
      </xdr:xfrm>
      <a:graphic>
        <a:graphicData uri="http://schemas.openxmlformats.org/drawingml/2006/chart">
          <c:chart xmlns:c="http://schemas.openxmlformats.org/drawingml/2006/chart" r:id="rId1"/>
        </a:graphicData>
      </a:graphic>
    </xdr:graphicFrame>
    <xdr:clientData/>
  </xdr:twoCellAnchor>
  <xdr:twoCellAnchor>
    <xdr:from>
      <xdr:col>15</xdr:col>
      <xdr:colOff>266700</xdr:colOff>
      <xdr:row>51</xdr:row>
      <xdr:rowOff>76200</xdr:rowOff>
    </xdr:from>
    <xdr:to>
      <xdr:col>23</xdr:col>
      <xdr:colOff>76200</xdr:colOff>
      <xdr:row>72</xdr:row>
      <xdr:rowOff>76200</xdr:rowOff>
    </xdr:to>
    <xdr:graphicFrame>
      <xdr:nvGraphicFramePr>
        <xdr:cNvPr id="2" name="Chart 36"/>
        <xdr:cNvGraphicFramePr/>
      </xdr:nvGraphicFramePr>
      <xdr:xfrm>
        <a:off x="9410700" y="8848725"/>
        <a:ext cx="4686300" cy="3400425"/>
      </xdr:xfrm>
      <a:graphic>
        <a:graphicData uri="http://schemas.openxmlformats.org/drawingml/2006/chart">
          <c:chart xmlns:c="http://schemas.openxmlformats.org/drawingml/2006/chart" r:id="rId2"/>
        </a:graphicData>
      </a:graphic>
    </xdr:graphicFrame>
    <xdr:clientData/>
  </xdr:twoCellAnchor>
  <xdr:twoCellAnchor>
    <xdr:from>
      <xdr:col>8</xdr:col>
      <xdr:colOff>476250</xdr:colOff>
      <xdr:row>72</xdr:row>
      <xdr:rowOff>133350</xdr:rowOff>
    </xdr:from>
    <xdr:to>
      <xdr:col>16</xdr:col>
      <xdr:colOff>285750</xdr:colOff>
      <xdr:row>93</xdr:row>
      <xdr:rowOff>133350</xdr:rowOff>
    </xdr:to>
    <xdr:graphicFrame>
      <xdr:nvGraphicFramePr>
        <xdr:cNvPr id="3" name="Chart 37"/>
        <xdr:cNvGraphicFramePr/>
      </xdr:nvGraphicFramePr>
      <xdr:xfrm>
        <a:off x="5353050" y="12306300"/>
        <a:ext cx="4686300" cy="34004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12</xdr:row>
      <xdr:rowOff>9525</xdr:rowOff>
    </xdr:from>
    <xdr:to>
      <xdr:col>9</xdr:col>
      <xdr:colOff>9525</xdr:colOff>
      <xdr:row>24</xdr:row>
      <xdr:rowOff>104775</xdr:rowOff>
    </xdr:to>
    <xdr:sp>
      <xdr:nvSpPr>
        <xdr:cNvPr id="1" name="Text 15"/>
        <xdr:cNvSpPr txBox="1">
          <a:spLocks noChangeArrowheads="1"/>
        </xdr:cNvSpPr>
      </xdr:nvSpPr>
      <xdr:spPr>
        <a:xfrm>
          <a:off x="66675" y="1990725"/>
          <a:ext cx="5572125" cy="203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Introduction</a:t>
          </a:r>
          <a:r>
            <a:rPr lang="en-US" cap="none" sz="1000" b="0" i="0" u="none" baseline="0">
              <a:latin typeface="Arial"/>
              <a:ea typeface="Arial"/>
              <a:cs typeface="Arial"/>
            </a:rPr>
            <a:t>
This workbook is a way to compare different management tactics. It can be used for identifying the most promising alternatives. You can insert your own values on number of clones of different types, their genetic variation and the quantitative and qualitative characteristics of the contaminating pollen. It can be seen as a deterministic breeding simulator. Like a flight simulator responds to rudder input, the genetic responses of this simulator changes with the seed orchard management tactics.  The simulator considers values on the fractions of clones thinned, the fraction of clones harvested, the fraction of clones which serves both as a seed and a pollen source. The simulator considers the fertility variation of orchard clones estimated by </a:t>
          </a:r>
          <a:r>
            <a:rPr lang="en-US" cap="none" sz="1000" b="0" i="1" u="none" baseline="0">
              <a:latin typeface="Arial"/>
              <a:ea typeface="Arial"/>
              <a:cs typeface="Arial"/>
            </a:rPr>
            <a:t>CV</a:t>
          </a:r>
          <a:r>
            <a:rPr lang="en-US" cap="none" sz="1000" b="0" i="0" u="none" baseline="0">
              <a:latin typeface="Arial"/>
              <a:ea typeface="Arial"/>
              <a:cs typeface="Arial"/>
            </a:rPr>
            <a:t> (%) in reproductive input or output (Sibling coefficient, </a:t>
          </a:r>
          <a:r>
            <a:rPr lang="en-US" cap="none" sz="1000" b="0" i="1" u="none" baseline="0">
              <a:latin typeface="Arial"/>
              <a:ea typeface="Arial"/>
              <a:cs typeface="Arial"/>
            </a:rPr>
            <a:t>A, </a:t>
          </a:r>
          <a:r>
            <a:rPr lang="en-US" cap="none" sz="1000" b="0" i="1" u="none" baseline="0">
              <a:latin typeface="Symbol"/>
              <a:ea typeface="Symbol"/>
              <a:cs typeface="Symbol"/>
            </a:rPr>
            <a:t>y</a:t>
          </a:r>
          <a:r>
            <a:rPr lang="en-US" cap="none" sz="1000" b="0" i="0" u="none" baseline="0">
              <a:latin typeface="Arial"/>
              <a:ea typeface="Arial"/>
              <a:cs typeface="Arial"/>
            </a:rPr>
            <a:t> could equivalently have been used).</a:t>
          </a:r>
          <a:r>
            <a:rPr lang="en-US" cap="none" sz="1000" b="0" i="1" u="none" baseline="0">
              <a:latin typeface="Arial"/>
              <a:ea typeface="Arial"/>
              <a:cs typeface="Arial"/>
            </a:rPr>
            <a:t> </a:t>
          </a:r>
          <a:r>
            <a:rPr lang="en-US" cap="none" sz="1000" b="0" i="0" u="none" baseline="0">
              <a:latin typeface="Arial"/>
              <a:ea typeface="Arial"/>
              <a:cs typeface="Arial"/>
            </a:rPr>
            <a:t>The simulator considers the value of pollen contamination rate (%) and quality. Options like genetic thinning, selective harvest, establishment of young grafts (seed parents) among old (pollen parents) can be studied.</a:t>
          </a:r>
        </a:p>
      </xdr:txBody>
    </xdr:sp>
    <xdr:clientData/>
  </xdr:twoCellAnchor>
  <xdr:twoCellAnchor>
    <xdr:from>
      <xdr:col>0</xdr:col>
      <xdr:colOff>66675</xdr:colOff>
      <xdr:row>5</xdr:row>
      <xdr:rowOff>85725</xdr:rowOff>
    </xdr:from>
    <xdr:to>
      <xdr:col>9</xdr:col>
      <xdr:colOff>9525</xdr:colOff>
      <xdr:row>11</xdr:row>
      <xdr:rowOff>123825</xdr:rowOff>
    </xdr:to>
    <xdr:sp>
      <xdr:nvSpPr>
        <xdr:cNvPr id="2" name="Text 16"/>
        <xdr:cNvSpPr txBox="1">
          <a:spLocks noChangeArrowheads="1"/>
        </xdr:cNvSpPr>
      </xdr:nvSpPr>
      <xdr:spPr>
        <a:xfrm>
          <a:off x="66675" y="933450"/>
          <a:ext cx="5572125" cy="1009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FF00FF"/>
              </a:solidFill>
              <a:latin typeface="Arial"/>
              <a:ea typeface="Arial"/>
              <a:cs typeface="Arial"/>
            </a:rPr>
            <a:t>Welcome to ORCHARD MANAGEMENT.xls
</a:t>
          </a:r>
          <a:r>
            <a:rPr lang="en-US" cap="none" sz="1000" b="0" i="0" u="none" baseline="0">
              <a:latin typeface="Arial"/>
              <a:ea typeface="Arial"/>
              <a:cs typeface="Arial"/>
            </a:rPr>
            <a:t>Relatedness (status number or group coancestry) and gain of seed orchard crops are predicted. Variance effective numbers are also predicted. Contamination, relatedness, inbreeding, fecundity (fertility, reproductive success), and number of clones functioning as seed parents and pollen parents are considered.</a:t>
          </a:r>
        </a:p>
      </xdr:txBody>
    </xdr:sp>
    <xdr:clientData/>
  </xdr:twoCellAnchor>
  <xdr:twoCellAnchor>
    <xdr:from>
      <xdr:col>0</xdr:col>
      <xdr:colOff>66675</xdr:colOff>
      <xdr:row>25</xdr:row>
      <xdr:rowOff>19050</xdr:rowOff>
    </xdr:from>
    <xdr:to>
      <xdr:col>9</xdr:col>
      <xdr:colOff>9525</xdr:colOff>
      <xdr:row>36</xdr:row>
      <xdr:rowOff>66675</xdr:rowOff>
    </xdr:to>
    <xdr:sp>
      <xdr:nvSpPr>
        <xdr:cNvPr id="3" name="Text 17"/>
        <xdr:cNvSpPr txBox="1">
          <a:spLocks noChangeArrowheads="1"/>
        </xdr:cNvSpPr>
      </xdr:nvSpPr>
      <xdr:spPr>
        <a:xfrm>
          <a:off x="66675" y="4105275"/>
          <a:ext cx="5572125" cy="1866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Gain prediction</a:t>
          </a:r>
          <a:r>
            <a:rPr lang="en-US" cap="none" sz="1000" b="0" i="0" u="none" baseline="0">
              <a:latin typeface="Arial"/>
              <a:ea typeface="Arial"/>
              <a:cs typeface="Arial"/>
            </a:rPr>
            <a:t>
</a:t>
          </a:r>
          <a:r>
            <a:rPr lang="en-US" cap="none" sz="1000" b="0" i="0" u="none" baseline="0">
              <a:latin typeface="Arial"/>
              <a:ea typeface="Arial"/>
              <a:cs typeface="Arial"/>
            </a:rPr>
            <a:t>Prediction of genetic gain and diversity is for a seed orchard that consists of grafted clones, which are unrelated and non-inbred. It is considered only as selection of the first generation and the selection is considered as a truncation selection. 
</a:t>
          </a:r>
          <a:r>
            <a:rPr lang="en-US" cap="none" sz="1000" b="0" i="0" u="none" baseline="0">
              <a:latin typeface="Arial"/>
              <a:ea typeface="Arial"/>
              <a:cs typeface="Arial"/>
            </a:rPr>
            <a:t>The breeding values of orchard clones are assumed as known. The breeding value of the inititial selection of plus-trees is considered as 0. 
The contaminating pollen has a breeding value which usually is less than zero. Its value is inserted with the standard deviation of breeding values as unit.
</a:t>
          </a:r>
          <a:r>
            <a:rPr lang="en-US" cap="none" sz="1000" b="0" i="0" u="none" baseline="0">
              <a:latin typeface="Arial"/>
              <a:ea typeface="Arial"/>
              <a:cs typeface="Arial"/>
            </a:rPr>
            <a:t>The standard deviation of breeding values of clones is inserted as 1, and at the moment we r</a:t>
          </a:r>
          <a:r>
            <a:rPr lang="en-US" cap="none" sz="1000" b="0" i="0" u="none" baseline="0">
              <a:latin typeface="Arial"/>
              <a:ea typeface="Arial"/>
              <a:cs typeface="Arial"/>
            </a:rPr>
            <a:t>ecommend to let it stay in that way. Values in </a:t>
          </a:r>
          <a:r>
            <a:rPr lang="en-US" cap="none" sz="1000" b="0" i="1" u="none" baseline="0">
              <a:latin typeface="Arial"/>
              <a:ea typeface="Arial"/>
              <a:cs typeface="Arial"/>
            </a:rPr>
            <a:t>italics</a:t>
          </a:r>
          <a:r>
            <a:rPr lang="en-US" cap="none" sz="1000" b="0" i="0" u="none" baseline="0">
              <a:latin typeface="Arial"/>
              <a:ea typeface="Arial"/>
              <a:cs typeface="Arial"/>
            </a:rPr>
            <a:t> are relevant only for gain prediction and not for status number.</a:t>
          </a:r>
        </a:p>
      </xdr:txBody>
    </xdr:sp>
    <xdr:clientData/>
  </xdr:twoCellAnchor>
  <xdr:twoCellAnchor>
    <xdr:from>
      <xdr:col>0</xdr:col>
      <xdr:colOff>57150</xdr:colOff>
      <xdr:row>37</xdr:row>
      <xdr:rowOff>0</xdr:rowOff>
    </xdr:from>
    <xdr:to>
      <xdr:col>9</xdr:col>
      <xdr:colOff>9525</xdr:colOff>
      <xdr:row>45</xdr:row>
      <xdr:rowOff>123825</xdr:rowOff>
    </xdr:to>
    <xdr:sp>
      <xdr:nvSpPr>
        <xdr:cNvPr id="4" name="Text 19"/>
        <xdr:cNvSpPr txBox="1">
          <a:spLocks noChangeArrowheads="1"/>
        </xdr:cNvSpPr>
      </xdr:nvSpPr>
      <xdr:spPr>
        <a:xfrm>
          <a:off x="57150" y="6067425"/>
          <a:ext cx="5581650" cy="1419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Status number and relatedness</a:t>
          </a:r>
          <a:r>
            <a:rPr lang="en-US" cap="none" sz="1000" b="0" i="0" u="none" baseline="0">
              <a:latin typeface="Arial"/>
              <a:ea typeface="Arial"/>
              <a:cs typeface="Arial"/>
            </a:rPr>
            <a:t>
Few clones in an orchard will make the seeds related. These effects are quantified as group coancestry (average coancestry = average kinship = "genomsnittligt släktskap") or status effective number </a:t>
          </a:r>
          <a:r>
            <a:rPr lang="en-US" cap="none" sz="1000" b="0" i="0" u="none" baseline="0">
              <a:latin typeface="Arial"/>
              <a:ea typeface="Arial"/>
              <a:cs typeface="Arial"/>
            </a:rPr>
            <a:t>(Lindgren and Mullin  1998), and variance effective population size (Kang and Lindgren, 1998) considering the change of gene contributions between the orchard clones and the seed crop.</a:t>
          </a:r>
          <a:r>
            <a:rPr lang="en-US" cap="none" sz="1000" b="0" i="0" u="none" baseline="0">
              <a:latin typeface="Arial"/>
              <a:ea typeface="Arial"/>
              <a:cs typeface="Arial"/>
            </a:rPr>
            <a:t> It is assumed that the parent population consisted of unrelated trees does not affected by inbreeding. In alternatives with parental selection based on the performance of the progeny or cloned replications, status number and selected number are equal.</a:t>
          </a:r>
        </a:p>
      </xdr:txBody>
    </xdr:sp>
    <xdr:clientData/>
  </xdr:twoCellAnchor>
  <xdr:twoCellAnchor>
    <xdr:from>
      <xdr:col>9</xdr:col>
      <xdr:colOff>85725</xdr:colOff>
      <xdr:row>46</xdr:row>
      <xdr:rowOff>133350</xdr:rowOff>
    </xdr:from>
    <xdr:to>
      <xdr:col>18</xdr:col>
      <xdr:colOff>9525</xdr:colOff>
      <xdr:row>52</xdr:row>
      <xdr:rowOff>76200</xdr:rowOff>
    </xdr:to>
    <xdr:sp>
      <xdr:nvSpPr>
        <xdr:cNvPr id="5" name="Text 23"/>
        <xdr:cNvSpPr txBox="1">
          <a:spLocks noChangeArrowheads="1"/>
        </xdr:cNvSpPr>
      </xdr:nvSpPr>
      <xdr:spPr>
        <a:xfrm>
          <a:off x="5715000" y="7658100"/>
          <a:ext cx="544830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Constraints</a:t>
          </a:r>
          <a:r>
            <a:rPr lang="en-US" cap="none" sz="1000" b="0" i="0" u="none" baseline="0">
              <a:solidFill>
                <a:srgbClr val="000000"/>
              </a:solidFill>
              <a:latin typeface="Arial"/>
              <a:ea typeface="Arial"/>
              <a:cs typeface="Arial"/>
            </a:rPr>
            <a:t>
Some features are not incorporated like linear deployment or population merit selection. Gain is expressed by one character in one environment (but this is not very limiting as the character may be an index). This is for a seed orchard of grafted clones with no inbreeding and no relationships (first generation selections).</a:t>
          </a:r>
          <a:r>
            <a:rPr lang="en-US" cap="none" sz="1000" b="0" i="0" u="none" baseline="0">
              <a:solidFill>
                <a:srgbClr val="000000"/>
              </a:solidFill>
              <a:latin typeface="Arial"/>
              <a:ea typeface="Arial"/>
              <a:cs typeface="Arial"/>
            </a:rPr>
            <a:t> The breeding values are considered as known.</a:t>
          </a:r>
        </a:p>
      </xdr:txBody>
    </xdr:sp>
    <xdr:clientData/>
  </xdr:twoCellAnchor>
  <xdr:twoCellAnchor>
    <xdr:from>
      <xdr:col>9</xdr:col>
      <xdr:colOff>95250</xdr:colOff>
      <xdr:row>52</xdr:row>
      <xdr:rowOff>123825</xdr:rowOff>
    </xdr:from>
    <xdr:to>
      <xdr:col>18</xdr:col>
      <xdr:colOff>19050</xdr:colOff>
      <xdr:row>58</xdr:row>
      <xdr:rowOff>66675</xdr:rowOff>
    </xdr:to>
    <xdr:sp>
      <xdr:nvSpPr>
        <xdr:cNvPr id="6" name="Text 24"/>
        <xdr:cNvSpPr txBox="1">
          <a:spLocks noChangeArrowheads="1"/>
        </xdr:cNvSpPr>
      </xdr:nvSpPr>
      <xdr:spPr>
        <a:xfrm>
          <a:off x="5724525" y="8705850"/>
          <a:ext cx="54483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Trouble?</a:t>
          </a:r>
          <a:r>
            <a:rPr lang="en-US" cap="none" sz="1000" b="0" i="0" u="none" baseline="0">
              <a:solidFill>
                <a:srgbClr val="000000"/>
              </a:solidFill>
              <a:latin typeface="Arial"/>
              <a:ea typeface="Arial"/>
              <a:cs typeface="Arial"/>
            </a:rPr>
            <a:t>
Note that it is possible to give impossible input, usually the worksheet will protest by not working properly, but you get no error messages. You may look in the wrong place of the workbook or worksheet when you do not understand what you see.</a:t>
          </a:r>
        </a:p>
      </xdr:txBody>
    </xdr:sp>
    <xdr:clientData/>
  </xdr:twoCellAnchor>
  <xdr:twoCellAnchor>
    <xdr:from>
      <xdr:col>9</xdr:col>
      <xdr:colOff>66675</xdr:colOff>
      <xdr:row>23</xdr:row>
      <xdr:rowOff>19050</xdr:rowOff>
    </xdr:from>
    <xdr:to>
      <xdr:col>18</xdr:col>
      <xdr:colOff>114300</xdr:colOff>
      <xdr:row>36</xdr:row>
      <xdr:rowOff>104775</xdr:rowOff>
    </xdr:to>
    <xdr:sp>
      <xdr:nvSpPr>
        <xdr:cNvPr id="7" name="Text 25"/>
        <xdr:cNvSpPr txBox="1">
          <a:spLocks noChangeArrowheads="1"/>
        </xdr:cNvSpPr>
      </xdr:nvSpPr>
      <xdr:spPr>
        <a:xfrm>
          <a:off x="5695950" y="3781425"/>
          <a:ext cx="5572125" cy="222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Contamination</a:t>
          </a:r>
          <a:r>
            <a:rPr lang="en-US" cap="none" sz="1000" b="0" i="0" u="none" baseline="0">
              <a:latin typeface="Arial"/>
              <a:ea typeface="Arial"/>
              <a:cs typeface="Arial"/>
            </a:rPr>
            <a:t>
It flows alien pollen into a seed orchard. This gene migration (</a:t>
          </a:r>
          <a:r>
            <a:rPr lang="en-US" cap="none" sz="1000" b="0" i="1" u="none" baseline="0">
              <a:latin typeface="Arial"/>
              <a:ea typeface="Arial"/>
              <a:cs typeface="Arial"/>
            </a:rPr>
            <a:t>M</a:t>
          </a:r>
          <a:r>
            <a:rPr lang="en-US" cap="none" sz="1000" b="0" i="0" u="none" baseline="0">
              <a:latin typeface="Arial"/>
              <a:ea typeface="Arial"/>
              <a:cs typeface="Arial"/>
            </a:rPr>
            <a:t>) can be used as an entry, but note that </a:t>
          </a:r>
          <a:r>
            <a:rPr lang="en-US" cap="none" sz="1000" b="0" i="1" u="none" baseline="0">
              <a:latin typeface="Arial"/>
              <a:ea typeface="Arial"/>
              <a:cs typeface="Arial"/>
            </a:rPr>
            <a:t>M</a:t>
          </a:r>
          <a:r>
            <a:rPr lang="en-US" cap="none" sz="1000" b="0" i="0" u="none" baseline="0">
              <a:latin typeface="Arial"/>
              <a:ea typeface="Arial"/>
              <a:cs typeface="Arial"/>
            </a:rPr>
            <a:t> is half of the pollen contamination (as where is no contamination on the female side). It is assumed the alien pollen is unrelated with all seed orchard clon</a:t>
          </a:r>
          <a:r>
            <a:rPr lang="en-US" cap="none" sz="1000" b="0" i="0" u="none" baseline="0">
              <a:solidFill>
                <a:srgbClr val="000000"/>
              </a:solidFill>
              <a:latin typeface="Arial"/>
              <a:ea typeface="Arial"/>
              <a:cs typeface="Arial"/>
            </a:rPr>
            <a:t>es and with itself, so it widens the diversity quit a bit. The genetic quality of the contaminating pollen c</a:t>
          </a:r>
          <a:r>
            <a:rPr lang="en-US" cap="none" sz="1000" b="0" i="0" u="none" baseline="0">
              <a:latin typeface="Arial"/>
              <a:ea typeface="Arial"/>
              <a:cs typeface="Arial"/>
            </a:rPr>
            <a:t>an be entered for gain calculations. Influence of contamination on genetic value can also be calculated as </a:t>
          </a:r>
          <a:r>
            <a:rPr lang="en-US" cap="none" sz="1000" b="0" i="1" u="none" baseline="0">
              <a:latin typeface="Arial"/>
              <a:ea typeface="Arial"/>
              <a:cs typeface="Arial"/>
            </a:rPr>
            <a:t>M</a:t>
          </a:r>
          <a:r>
            <a:rPr lang="en-US" cap="none" sz="1000" b="0" i="0" u="none" baseline="0">
              <a:latin typeface="Arial"/>
              <a:ea typeface="Arial"/>
              <a:cs typeface="Arial"/>
            </a:rPr>
            <a:t>*C, where </a:t>
          </a:r>
          <a:r>
            <a:rPr lang="en-US" cap="none" sz="1000" b="0" i="1" u="none" baseline="0">
              <a:latin typeface="Arial"/>
              <a:ea typeface="Arial"/>
              <a:cs typeface="Arial"/>
            </a:rPr>
            <a:t>C</a:t>
          </a:r>
          <a:r>
            <a:rPr lang="en-US" cap="none" sz="1000" b="0" i="0" u="none" baseline="0">
              <a:latin typeface="Arial"/>
              <a:ea typeface="Arial"/>
              <a:cs typeface="Arial"/>
            </a:rPr>
            <a:t> is the contamination inferiority.
Large differences in the genetic composition of seed orchard pollen and migrating pollen could influence the genetic composition and adaptation potential of orchard seeds even at small amounts of gene flow in the seed orchards.It is assumed that the contaminating pollen has a negative breeding value compared to seed orchard pollen.
Note that the effects of pollen migration on gene diversity have not always been correctly dealt with in earlier versions (before October 1999) in this worksheet (cf. Routsalainen et al 2000).</a:t>
          </a:r>
        </a:p>
      </xdr:txBody>
    </xdr:sp>
    <xdr:clientData/>
  </xdr:twoCellAnchor>
  <xdr:twoCellAnchor>
    <xdr:from>
      <xdr:col>9</xdr:col>
      <xdr:colOff>85725</xdr:colOff>
      <xdr:row>36</xdr:row>
      <xdr:rowOff>104775</xdr:rowOff>
    </xdr:from>
    <xdr:to>
      <xdr:col>18</xdr:col>
      <xdr:colOff>9525</xdr:colOff>
      <xdr:row>46</xdr:row>
      <xdr:rowOff>95250</xdr:rowOff>
    </xdr:to>
    <xdr:sp>
      <xdr:nvSpPr>
        <xdr:cNvPr id="8" name="Text 29"/>
        <xdr:cNvSpPr txBox="1">
          <a:spLocks noChangeArrowheads="1"/>
        </xdr:cNvSpPr>
      </xdr:nvSpPr>
      <xdr:spPr>
        <a:xfrm>
          <a:off x="5715000" y="6010275"/>
          <a:ext cx="5448300" cy="1609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Additional options?</a:t>
          </a:r>
          <a:r>
            <a:rPr lang="en-US" cap="none" sz="1000" b="0" i="0" u="none" baseline="0">
              <a:solidFill>
                <a:srgbClr val="000000"/>
              </a:solidFill>
              <a:latin typeface="Arial"/>
              <a:ea typeface="Arial"/>
              <a:cs typeface="Arial"/>
            </a:rPr>
            <a:t>
You may get a feel for what we are doing by playing with the numbers. Note that the worksheet can sometimes solve unforeseen problems with some imagination. </a:t>
          </a:r>
          <a:r>
            <a:rPr lang="en-US" cap="none" sz="1000" b="0" i="1" u="none" baseline="0">
              <a:solidFill>
                <a:srgbClr val="000000"/>
              </a:solidFill>
              <a:latin typeface="Arial"/>
              <a:ea typeface="Arial"/>
              <a:cs typeface="Arial"/>
            </a:rPr>
            <a:t>E.g.</a:t>
          </a:r>
          <a:r>
            <a:rPr lang="en-US" cap="none" sz="1000" b="0" i="0" u="none" baseline="0">
              <a:solidFill>
                <a:srgbClr val="000000"/>
              </a:solidFill>
              <a:latin typeface="Arial"/>
              <a:ea typeface="Arial"/>
              <a:cs typeface="Arial"/>
            </a:rPr>
            <a:t>, you may want the inbreeding in a seedling seed orchard obtained after wind pollination in a clonal orchard, when you may use that inbreeding is the group coancestry of random mating parents.  Note that it is possible to utilize the workbook for more than changing the red values once you have understood how it works. In that way the workbook may help you to study problems the workbook was not initially built for.  E.g. the different options can be expanded into seedling seed orchards with calculation of group coancestry.</a:t>
          </a:r>
        </a:p>
      </xdr:txBody>
    </xdr:sp>
    <xdr:clientData/>
  </xdr:twoCellAnchor>
  <xdr:twoCellAnchor>
    <xdr:from>
      <xdr:col>9</xdr:col>
      <xdr:colOff>57150</xdr:colOff>
      <xdr:row>5</xdr:row>
      <xdr:rowOff>95250</xdr:rowOff>
    </xdr:from>
    <xdr:to>
      <xdr:col>17</xdr:col>
      <xdr:colOff>638175</xdr:colOff>
      <xdr:row>14</xdr:row>
      <xdr:rowOff>57150</xdr:rowOff>
    </xdr:to>
    <xdr:sp>
      <xdr:nvSpPr>
        <xdr:cNvPr id="9" name="Text 25"/>
        <xdr:cNvSpPr txBox="1">
          <a:spLocks noChangeArrowheads="1"/>
        </xdr:cNvSpPr>
      </xdr:nvSpPr>
      <xdr:spPr>
        <a:xfrm>
          <a:off x="5686425" y="942975"/>
          <a:ext cx="5457825" cy="1419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Fertility variation</a:t>
          </a:r>
          <a:r>
            <a:rPr lang="en-US" cap="none" sz="1000" b="0" i="0" u="none" baseline="0">
              <a:solidFill>
                <a:srgbClr val="000000"/>
              </a:solidFill>
              <a:latin typeface="Arial"/>
              <a:ea typeface="Arial"/>
              <a:cs typeface="Arial"/>
            </a:rPr>
            <a:t>
Clones are not equally fertile. If clones are ranked according t</a:t>
          </a:r>
          <a:r>
            <a:rPr lang="en-US" cap="none" sz="1000" b="0" i="0" u="none" baseline="0">
              <a:latin typeface="Arial"/>
              <a:ea typeface="Arial"/>
              <a:cs typeface="Arial"/>
            </a:rPr>
            <a:t>o their fertility, the cumulative fertility below the proportion x can be approximated by a power function described as </a:t>
          </a:r>
          <a:r>
            <a:rPr lang="en-US" cap="none" sz="1000" b="0" i="1" u="none" baseline="0">
              <a:solidFill>
                <a:srgbClr val="000000"/>
              </a:solidFill>
              <a:latin typeface="Arial"/>
              <a:ea typeface="Arial"/>
              <a:cs typeface="Arial"/>
            </a:rPr>
            <a:t>F</a:t>
          </a:r>
          <a:r>
            <a:rPr lang="en-US" cap="none" sz="1000" b="0" i="0" u="none" baseline="0">
              <a:latin typeface="Arial"/>
              <a:ea typeface="Arial"/>
              <a:cs typeface="Arial"/>
            </a:rPr>
            <a:t>(</a:t>
          </a:r>
          <a:r>
            <a:rPr lang="en-US" cap="none" sz="1000" b="0" i="1" u="none" baseline="0">
              <a:latin typeface="Arial"/>
              <a:ea typeface="Arial"/>
              <a:cs typeface="Arial"/>
            </a:rPr>
            <a:t>x</a:t>
          </a:r>
          <a:r>
            <a:rPr lang="en-US" cap="none" sz="1000" b="0" i="0" u="none" baseline="0">
              <a:latin typeface="Arial"/>
              <a:ea typeface="Arial"/>
              <a:cs typeface="Arial"/>
            </a:rPr>
            <a:t>)=</a:t>
          </a:r>
          <a:r>
            <a:rPr lang="en-US" cap="none" sz="1000" b="0" i="1" u="none" baseline="0">
              <a:latin typeface="Arial"/>
              <a:ea typeface="Arial"/>
              <a:cs typeface="Arial"/>
            </a:rPr>
            <a:t>x</a:t>
          </a:r>
          <a:r>
            <a:rPr lang="en-US" cap="none" sz="1000" b="0" i="0" u="none" baseline="30000">
              <a:latin typeface="Arial"/>
              <a:ea typeface="Arial"/>
              <a:cs typeface="Arial"/>
            </a:rPr>
            <a:t>a</a:t>
          </a:r>
          <a:r>
            <a:rPr lang="en-US" cap="none" sz="1000" b="0" i="0" u="none" baseline="0">
              <a:latin typeface="Arial"/>
              <a:ea typeface="Arial"/>
              <a:cs typeface="Arial"/>
            </a:rPr>
            <a:t>. Knowing </a:t>
          </a:r>
          <a:r>
            <a:rPr lang="en-US" cap="none" sz="1000" b="0" i="1" u="none" baseline="0">
              <a:latin typeface="Arial"/>
              <a:ea typeface="Arial"/>
              <a:cs typeface="Arial"/>
            </a:rPr>
            <a:t>CV</a:t>
          </a:r>
          <a:r>
            <a:rPr lang="en-US" cap="none" sz="1000" b="0" i="0" u="none" baseline="0">
              <a:latin typeface="Arial"/>
              <a:ea typeface="Arial"/>
              <a:cs typeface="Arial"/>
            </a:rPr>
            <a:t> (coefficient of variation of fertility), it is possible to derive '</a:t>
          </a:r>
          <a:r>
            <a:rPr lang="en-US" cap="none" sz="1000" b="0" i="1" u="none" baseline="0">
              <a:latin typeface="Arial"/>
              <a:ea typeface="Arial"/>
              <a:cs typeface="Arial"/>
            </a:rPr>
            <a:t>a'</a:t>
          </a:r>
          <a:r>
            <a:rPr lang="en-US" cap="none" sz="1000" b="0" i="0" u="none" baseline="0">
              <a:latin typeface="Arial"/>
              <a:ea typeface="Arial"/>
              <a:cs typeface="Arial"/>
            </a:rPr>
            <a:t> and '</a:t>
          </a:r>
          <a:r>
            <a:rPr lang="en-US" cap="none" sz="1000" b="0" i="1" u="none" baseline="0">
              <a:latin typeface="Arial"/>
              <a:ea typeface="Arial"/>
              <a:cs typeface="Arial"/>
            </a:rPr>
            <a:t>A'</a:t>
          </a:r>
          <a:r>
            <a:rPr lang="en-US" cap="none" sz="1000" b="0" i="0" u="none" baseline="0">
              <a:latin typeface="Arial"/>
              <a:ea typeface="Arial"/>
              <a:cs typeface="Arial"/>
            </a:rPr>
            <a:t>. With the </a:t>
          </a:r>
          <a:r>
            <a:rPr lang="en-US" cap="none" sz="1000" b="0" i="1" u="none" baseline="0">
              <a:latin typeface="Arial"/>
              <a:ea typeface="Arial"/>
              <a:cs typeface="Arial"/>
            </a:rPr>
            <a:t>CV</a:t>
          </a:r>
          <a:r>
            <a:rPr lang="en-US" cap="none" sz="1000" b="0" i="0" u="none" baseline="0">
              <a:latin typeface="Arial"/>
              <a:ea typeface="Arial"/>
              <a:cs typeface="Arial"/>
            </a:rPr>
            <a:t>s of female and male fertilities, total fertility variation of reproductive output (</a:t>
          </a:r>
          <a:r>
            <a:rPr lang="en-US" cap="none" sz="1000" b="0" i="1" u="none" baseline="0">
              <a:latin typeface="Arial"/>
              <a:ea typeface="Arial"/>
              <a:cs typeface="Arial"/>
            </a:rPr>
            <a:t>A</a:t>
          </a:r>
          <a:r>
            <a:rPr lang="en-US" cap="none" sz="1000" b="0" i="1" u="none" baseline="-25000">
              <a:latin typeface="Arial"/>
              <a:ea typeface="Arial"/>
              <a:cs typeface="Arial"/>
            </a:rPr>
            <a:t>t</a:t>
          </a:r>
          <a:r>
            <a:rPr lang="en-US" cap="none" sz="1000" b="0" i="0" u="none" baseline="0">
              <a:latin typeface="Arial"/>
              <a:ea typeface="Arial"/>
              <a:cs typeface="Arial"/>
            </a:rPr>
            <a:t>) can also be estimated from mother (</a:t>
          </a:r>
          <a:r>
            <a:rPr lang="en-US" cap="none" sz="1000" b="0" i="0" u="none" baseline="0">
              <a:latin typeface="Symbol"/>
              <a:ea typeface="Symbol"/>
              <a:cs typeface="Symbol"/>
            </a:rPr>
            <a:t>y</a:t>
          </a:r>
          <a:r>
            <a:rPr lang="en-US" cap="none" sz="1000" b="0" i="1" u="none" baseline="-25000">
              <a:latin typeface="Arial"/>
              <a:ea typeface="Arial"/>
              <a:cs typeface="Arial"/>
            </a:rPr>
            <a:t>mother</a:t>
          </a:r>
          <a:r>
            <a:rPr lang="en-US" cap="none" sz="1000" b="0" i="0" u="none" baseline="0">
              <a:latin typeface="Arial"/>
              <a:ea typeface="Arial"/>
              <a:cs typeface="Arial"/>
            </a:rPr>
            <a:t>) and father (</a:t>
          </a:r>
          <a:r>
            <a:rPr lang="en-US" cap="none" sz="1000" b="0" i="1" u="none" baseline="0">
              <a:latin typeface="Symbol"/>
              <a:ea typeface="Symbol"/>
              <a:cs typeface="Symbol"/>
            </a:rPr>
            <a:t>y</a:t>
          </a:r>
          <a:r>
            <a:rPr lang="en-US" cap="none" sz="1000" b="0" i="1" u="none" baseline="-25000">
              <a:latin typeface="Arial"/>
              <a:ea typeface="Arial"/>
              <a:cs typeface="Arial"/>
            </a:rPr>
            <a:t>father</a:t>
          </a:r>
          <a:r>
            <a:rPr lang="en-US" cap="none" sz="1000" b="0" i="0" u="none" baseline="0">
              <a:latin typeface="Arial"/>
              <a:ea typeface="Arial"/>
              <a:cs typeface="Arial"/>
            </a:rPr>
            <a:t>) fertilities. It is assumed that fertility is not correlated with breeding value, techniques for controllin</a:t>
          </a:r>
          <a:r>
            <a:rPr lang="en-US" cap="none" sz="1000" b="0" i="0" u="none" baseline="0">
              <a:solidFill>
                <a:srgbClr val="000000"/>
              </a:solidFill>
              <a:latin typeface="Arial"/>
              <a:ea typeface="Arial"/>
              <a:cs typeface="Arial"/>
            </a:rPr>
            <a:t>g fertility by adjusting ramet numbers when breeding values are known are demonstrated on other programs (some of the available at this FTP-site).</a:t>
          </a:r>
        </a:p>
      </xdr:txBody>
    </xdr:sp>
    <xdr:clientData/>
  </xdr:twoCellAnchor>
  <xdr:twoCellAnchor>
    <xdr:from>
      <xdr:col>9</xdr:col>
      <xdr:colOff>66675</xdr:colOff>
      <xdr:row>15</xdr:row>
      <xdr:rowOff>19050</xdr:rowOff>
    </xdr:from>
    <xdr:to>
      <xdr:col>18</xdr:col>
      <xdr:colOff>0</xdr:colOff>
      <xdr:row>21</xdr:row>
      <xdr:rowOff>123825</xdr:rowOff>
    </xdr:to>
    <xdr:sp>
      <xdr:nvSpPr>
        <xdr:cNvPr id="10" name="Text 25"/>
        <xdr:cNvSpPr txBox="1">
          <a:spLocks noChangeArrowheads="1"/>
        </xdr:cNvSpPr>
      </xdr:nvSpPr>
      <xdr:spPr>
        <a:xfrm>
          <a:off x="5695950" y="2486025"/>
          <a:ext cx="54578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Relative gene diversity
</a:t>
          </a:r>
          <a:r>
            <a:rPr lang="en-US" cap="none" sz="1000" b="0" i="0" u="none" baseline="0">
              <a:latin typeface="Arial"/>
              <a:ea typeface="Arial"/>
              <a:cs typeface="Arial"/>
            </a:rPr>
            <a:t>Gene diversity (</a:t>
          </a:r>
          <a:r>
            <a:rPr lang="en-US" cap="none" sz="1000" b="0" i="1" u="none" baseline="0">
              <a:latin typeface="Arial"/>
              <a:ea typeface="Arial"/>
              <a:cs typeface="Arial"/>
            </a:rPr>
            <a:t>GD</a:t>
          </a:r>
          <a:r>
            <a:rPr lang="en-US" cap="none" sz="1000" b="0" i="0" u="none" baseline="0">
              <a:latin typeface="Arial"/>
              <a:ea typeface="Arial"/>
              <a:cs typeface="Arial"/>
            </a:rPr>
            <a:t>) can easily be derived from group coancestry (thus from status number).
</a:t>
          </a:r>
          <a:r>
            <a:rPr lang="en-US" cap="none" sz="1000" b="0" i="1" u="none" baseline="0">
              <a:latin typeface="Arial"/>
              <a:ea typeface="Arial"/>
              <a:cs typeface="Arial"/>
            </a:rPr>
            <a:t>GD</a:t>
          </a:r>
          <a:r>
            <a:rPr lang="en-US" cap="none" sz="1000" b="0" i="0" u="none" baseline="0">
              <a:latin typeface="Arial"/>
              <a:ea typeface="Arial"/>
              <a:cs typeface="Arial"/>
            </a:rPr>
            <a:t> of seed crops can be regarded as relative to a reference population from which plus trees were selected (</a:t>
          </a:r>
          <a:r>
            <a:rPr lang="en-US" cap="none" sz="1000" b="0" i="1" u="none" baseline="0">
              <a:latin typeface="Arial"/>
              <a:ea typeface="Arial"/>
              <a:cs typeface="Arial"/>
            </a:rPr>
            <a:t>i.e.</a:t>
          </a:r>
          <a:r>
            <a:rPr lang="en-US" cap="none" sz="1000" b="0" i="0" u="none" baseline="0">
              <a:latin typeface="Arial"/>
              <a:ea typeface="Arial"/>
              <a:cs typeface="Arial"/>
            </a:rPr>
            <a:t>, the wild forest). Thus, </a:t>
          </a:r>
          <a:r>
            <a:rPr lang="en-US" cap="none" sz="1000" b="0" i="1" u="none" baseline="0">
              <a:latin typeface="Arial"/>
              <a:ea typeface="Arial"/>
              <a:cs typeface="Arial"/>
            </a:rPr>
            <a:t>GD</a:t>
          </a:r>
          <a:r>
            <a:rPr lang="en-US" cap="none" sz="1000" b="0" i="0" u="none" baseline="0">
              <a:latin typeface="Arial"/>
              <a:ea typeface="Arial"/>
              <a:cs typeface="Arial"/>
            </a:rPr>
            <a:t> of reference population is set the value of 1.
Group coancestry of the seed crops will be inbreeding (</a:t>
          </a:r>
          <a:r>
            <a:rPr lang="en-US" cap="none" sz="1000" b="0" i="1" u="none" baseline="0">
              <a:latin typeface="Arial"/>
              <a:ea typeface="Arial"/>
              <a:cs typeface="Arial"/>
            </a:rPr>
            <a:t>F</a:t>
          </a:r>
          <a:r>
            <a:rPr lang="en-US" cap="none" sz="1000" b="0" i="0" u="none" baseline="0">
              <a:latin typeface="Arial"/>
              <a:ea typeface="Arial"/>
              <a:cs typeface="Arial"/>
            </a:rPr>
            <a:t>) in next generation following random mating.</a:t>
          </a:r>
        </a:p>
      </xdr:txBody>
    </xdr:sp>
    <xdr:clientData/>
  </xdr:twoCellAnchor>
  <xdr:twoCellAnchor>
    <xdr:from>
      <xdr:col>9</xdr:col>
      <xdr:colOff>95250</xdr:colOff>
      <xdr:row>58</xdr:row>
      <xdr:rowOff>104775</xdr:rowOff>
    </xdr:from>
    <xdr:to>
      <xdr:col>18</xdr:col>
      <xdr:colOff>19050</xdr:colOff>
      <xdr:row>64</xdr:row>
      <xdr:rowOff>123825</xdr:rowOff>
    </xdr:to>
    <xdr:sp>
      <xdr:nvSpPr>
        <xdr:cNvPr id="11" name="Text 24"/>
        <xdr:cNvSpPr txBox="1">
          <a:spLocks noChangeArrowheads="1"/>
        </xdr:cNvSpPr>
      </xdr:nvSpPr>
      <xdr:spPr>
        <a:xfrm>
          <a:off x="5724525" y="9658350"/>
          <a:ext cx="5448300"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Simple version</a:t>
          </a:r>
          <a:r>
            <a:rPr lang="en-US" cap="none" sz="1000" b="0" i="0" u="none" baseline="0">
              <a:solidFill>
                <a:srgbClr val="000000"/>
              </a:solidFill>
              <a:latin typeface="Arial"/>
              <a:ea typeface="Arial"/>
              <a:cs typeface="Arial"/>
            </a:rPr>
            <a:t>
In this version, genetic gain and gene diversity (</a:t>
          </a:r>
          <a:r>
            <a:rPr lang="en-US" cap="none" sz="1000" b="0" i="1" u="none" baseline="0">
              <a:solidFill>
                <a:srgbClr val="000000"/>
              </a:solidFill>
              <a:latin typeface="Arial"/>
              <a:ea typeface="Arial"/>
              <a:cs typeface="Arial"/>
            </a:rPr>
            <a:t>N</a:t>
          </a:r>
          <a:r>
            <a:rPr lang="en-US" cap="none" sz="1000" b="0" i="1" u="none" baseline="-25000">
              <a:solidFill>
                <a:srgbClr val="000000"/>
              </a:solidFill>
              <a:latin typeface="Arial"/>
              <a:ea typeface="Arial"/>
              <a:cs typeface="Arial"/>
            </a:rPr>
            <a:t>s</a:t>
          </a:r>
          <a:r>
            <a:rPr lang="en-US" cap="none" sz="1000" b="0" i="0" u="none" baseline="0">
              <a:solidFill>
                <a:srgbClr val="000000"/>
              </a:solidFill>
              <a:latin typeface="Arial"/>
              <a:ea typeface="Arial"/>
              <a:cs typeface="Arial"/>
            </a:rPr>
            <a:t> &amp; group coancestry) of seed crops were easily calculated considering genetic selection and pollen contamination, and compared for different management strategies. Additive variation is fixed at 1. If you want to know something more, e.g., formulas and fertility variation, you can go and try with advanced and more advanced versions.</a:t>
          </a:r>
        </a:p>
      </xdr:txBody>
    </xdr:sp>
    <xdr:clientData/>
  </xdr:twoCellAnchor>
  <xdr:twoCellAnchor>
    <xdr:from>
      <xdr:col>9</xdr:col>
      <xdr:colOff>95250</xdr:colOff>
      <xdr:row>64</xdr:row>
      <xdr:rowOff>171450</xdr:rowOff>
    </xdr:from>
    <xdr:to>
      <xdr:col>18</xdr:col>
      <xdr:colOff>19050</xdr:colOff>
      <xdr:row>70</xdr:row>
      <xdr:rowOff>95250</xdr:rowOff>
    </xdr:to>
    <xdr:sp>
      <xdr:nvSpPr>
        <xdr:cNvPr id="12" name="Text 24"/>
        <xdr:cNvSpPr txBox="1">
          <a:spLocks noChangeArrowheads="1"/>
        </xdr:cNvSpPr>
      </xdr:nvSpPr>
      <xdr:spPr>
        <a:xfrm>
          <a:off x="5724525" y="10772775"/>
          <a:ext cx="5448300" cy="933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Advanced version</a:t>
          </a:r>
          <a:r>
            <a:rPr lang="en-US" cap="none" sz="1000" b="0" i="0" u="none" baseline="0">
              <a:solidFill>
                <a:srgbClr val="000000"/>
              </a:solidFill>
              <a:latin typeface="Arial"/>
              <a:ea typeface="Arial"/>
              <a:cs typeface="Arial"/>
            </a:rPr>
            <a:t>
Here you can consider fertility variation and you can calculate variance effective population sizes (</a:t>
          </a:r>
          <a:r>
            <a:rPr lang="en-US" cap="none" sz="1000" b="0" i="1" u="none" baseline="0">
              <a:solidFill>
                <a:srgbClr val="000000"/>
              </a:solidFill>
              <a:latin typeface="Arial"/>
              <a:ea typeface="Arial"/>
              <a:cs typeface="Arial"/>
            </a:rPr>
            <a:t>N</a:t>
          </a:r>
          <a:r>
            <a:rPr lang="en-US" cap="none" sz="1000" b="0" i="1" u="none" baseline="-25000">
              <a:solidFill>
                <a:srgbClr val="000000"/>
              </a:solidFill>
              <a:latin typeface="Arial"/>
              <a:ea typeface="Arial"/>
              <a:cs typeface="Arial"/>
            </a:rPr>
            <a:t>e</a:t>
          </a:r>
          <a:r>
            <a:rPr lang="en-US" cap="none" sz="1000" b="0" i="0" u="none" baseline="30000">
              <a:solidFill>
                <a:srgbClr val="000000"/>
              </a:solidFill>
              <a:latin typeface="Arial"/>
              <a:ea typeface="Arial"/>
              <a:cs typeface="Arial"/>
            </a:rPr>
            <a:t>(</a:t>
          </a:r>
          <a:r>
            <a:rPr lang="en-US" cap="none" sz="1000" b="0" i="1" u="none" baseline="30000">
              <a:solidFill>
                <a:srgbClr val="000000"/>
              </a:solidFill>
              <a:latin typeface="Arial"/>
              <a:ea typeface="Arial"/>
              <a:cs typeface="Arial"/>
            </a:rPr>
            <a:t>v</a:t>
          </a:r>
          <a:r>
            <a:rPr lang="en-US" cap="none" sz="1000" b="0" i="0" u="none" baseline="30000">
              <a:solidFill>
                <a:srgbClr val="000000"/>
              </a:solidFill>
              <a:latin typeface="Arial"/>
              <a:ea typeface="Arial"/>
              <a:cs typeface="Arial"/>
            </a:rPr>
            <a:t>)</a:t>
          </a:r>
          <a:r>
            <a:rPr lang="en-US" cap="none" sz="1000" b="0" i="0" u="none" baseline="0">
              <a:solidFill>
                <a:srgbClr val="000000"/>
              </a:solidFill>
              <a:latin typeface="Arial"/>
              <a:ea typeface="Arial"/>
              <a:cs typeface="Arial"/>
            </a:rPr>
            <a:t>). Additive variation may be chosen. Also, all equations used are visible in this version, you can use it as a collection of formulas and it can help you understand how the calculations are done.</a:t>
          </a:r>
        </a:p>
      </xdr:txBody>
    </xdr:sp>
    <xdr:clientData/>
  </xdr:twoCellAnchor>
  <xdr:twoCellAnchor>
    <xdr:from>
      <xdr:col>9</xdr:col>
      <xdr:colOff>104775</xdr:colOff>
      <xdr:row>70</xdr:row>
      <xdr:rowOff>142875</xdr:rowOff>
    </xdr:from>
    <xdr:to>
      <xdr:col>18</xdr:col>
      <xdr:colOff>28575</xdr:colOff>
      <xdr:row>75</xdr:row>
      <xdr:rowOff>28575</xdr:rowOff>
    </xdr:to>
    <xdr:sp>
      <xdr:nvSpPr>
        <xdr:cNvPr id="13" name="Text 24"/>
        <xdr:cNvSpPr txBox="1">
          <a:spLocks noChangeArrowheads="1"/>
        </xdr:cNvSpPr>
      </xdr:nvSpPr>
      <xdr:spPr>
        <a:xfrm>
          <a:off x="5734050" y="11753850"/>
          <a:ext cx="5448300"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More advanced version</a:t>
          </a:r>
          <a:r>
            <a:rPr lang="en-US" cap="none" sz="1000" b="0" i="0" u="none" baseline="0">
              <a:solidFill>
                <a:srgbClr val="000000"/>
              </a:solidFill>
              <a:latin typeface="Arial"/>
              <a:ea typeface="Arial"/>
              <a:cs typeface="Arial"/>
            </a:rPr>
            <a:t>
Here we try to deal with different male and female fertility variations! We hope the results are correct but are not yet quite convinced. There is a figure that is describing the cumulated fertilities by a power function,  F(x)=x</a:t>
          </a:r>
          <a:r>
            <a:rPr lang="en-US" cap="none" sz="1000" b="0" i="0" u="none" baseline="30000">
              <a:solidFill>
                <a:srgbClr val="000000"/>
              </a:solidFill>
              <a:latin typeface="Arial"/>
              <a:ea typeface="Arial"/>
              <a:cs typeface="Arial"/>
            </a:rPr>
            <a:t>a</a:t>
          </a:r>
          <a:r>
            <a:rPr lang="en-US" cap="none" sz="1000" b="0" i="0" u="none" baseline="0">
              <a:solidFill>
                <a:srgbClr val="000000"/>
              </a:solidFill>
              <a:latin typeface="Arial"/>
              <a:ea typeface="Arial"/>
              <a:cs typeface="Arial"/>
            </a:rPr>
            <a:t>. (see also the explanation of fertility variation).</a:t>
          </a:r>
        </a:p>
      </xdr:txBody>
    </xdr:sp>
    <xdr:clientData/>
  </xdr:twoCellAnchor>
  <xdr:twoCellAnchor>
    <xdr:from>
      <xdr:col>0</xdr:col>
      <xdr:colOff>76200</xdr:colOff>
      <xdr:row>45</xdr:row>
      <xdr:rowOff>85725</xdr:rowOff>
    </xdr:from>
    <xdr:to>
      <xdr:col>8</xdr:col>
      <xdr:colOff>685800</xdr:colOff>
      <xdr:row>56</xdr:row>
      <xdr:rowOff>142875</xdr:rowOff>
    </xdr:to>
    <xdr:sp>
      <xdr:nvSpPr>
        <xdr:cNvPr id="14" name="TextBox 36"/>
        <xdr:cNvSpPr txBox="1">
          <a:spLocks noChangeArrowheads="1"/>
        </xdr:cNvSpPr>
      </xdr:nvSpPr>
      <xdr:spPr>
        <a:xfrm>
          <a:off x="76200" y="7448550"/>
          <a:ext cx="5505450" cy="1924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Solver for optimisation</a:t>
          </a:r>
          <a:r>
            <a:rPr lang="en-US" cap="none" sz="1000" b="0" i="0" u="none" baseline="0">
              <a:latin typeface="Arial"/>
              <a:ea typeface="Arial"/>
              <a:cs typeface="Arial"/>
            </a:rPr>
            <a:t>
If you are looking for an optimally efficient solution, you can use Solver in the relevant worksheet. Solver can determine the maximum or minimum value of one specific cell, which can be obtained by changing other specific cells. In this way, you can maximise e.g. the predicted breeding value allowing some values vary while keeping other constant. Solver will find the values of all adjustable cells (e.g. progeny size), which e.g. maximises the breeding value under your restrictions. 
"Solver" is found under "Tools", but you may have to log it in with "add in" first
To get a better understanding of this technique you may look at EXCEL Help or try the examples which exist Dag Lindgren's website. When you run Solver you can try to place following values into "Options": Precision: 0.00000001; Tolerance: 0.002; Convergence: 0.0001, but we are uncertain on how to handle this.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152400</xdr:rowOff>
    </xdr:from>
    <xdr:to>
      <xdr:col>9</xdr:col>
      <xdr:colOff>438150</xdr:colOff>
      <xdr:row>19</xdr:row>
      <xdr:rowOff>85725</xdr:rowOff>
    </xdr:to>
    <xdr:sp>
      <xdr:nvSpPr>
        <xdr:cNvPr id="1" name="TextBox 4"/>
        <xdr:cNvSpPr txBox="1">
          <a:spLocks noChangeArrowheads="1"/>
        </xdr:cNvSpPr>
      </xdr:nvSpPr>
      <xdr:spPr>
        <a:xfrm>
          <a:off x="95250" y="2286000"/>
          <a:ext cx="7115175" cy="1876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FF"/>
              </a:solidFill>
              <a:latin typeface="Arial"/>
              <a:ea typeface="Arial"/>
              <a:cs typeface="Arial"/>
            </a:rPr>
            <a:t>Lite om de värden som finns i originalversionen</a:t>
          </a:r>
          <a:r>
            <a:rPr lang="en-US" cap="none" sz="1000" b="0" i="0" u="none" baseline="0">
              <a:latin typeface="Arial"/>
              <a:ea typeface="Arial"/>
              <a:cs typeface="Arial"/>
            </a:rPr>
            <a:t>.
Vi tänker oss att plantageägaren Nisse Bosson önskar plocka de bästa klonerna. Den danska myndigheten tänkes ha bestämt att N</a:t>
          </a:r>
          <a:r>
            <a:rPr lang="en-US" cap="none" sz="1000" b="0" i="0" u="none" baseline="-25000">
              <a:latin typeface="Arial"/>
              <a:ea typeface="Arial"/>
              <a:cs typeface="Arial"/>
            </a:rPr>
            <a:t>eff</a:t>
          </a:r>
          <a:r>
            <a:rPr lang="en-US" cap="none" sz="1000" b="0" i="0" u="none" baseline="0">
              <a:latin typeface="Arial"/>
              <a:ea typeface="Arial"/>
              <a:cs typeface="Arial"/>
            </a:rPr>
            <a:t> skall vara 20, att A skall vara 2 (dvs klonantalet behöver fördubblas för att kompensera för diversitetsvariationerna)  och att pollenkontamination inte förekommer. Under dessa förutsättningar måste Nils Bosson plocka 25 kloner. Om man sätter in de bästa tillgängliga svenska skattningarna av kontaminationen och fertilitetsvariationen för gran räcker det med nio kloner för att uppfylla samma diversitetskrav och om det vore en svensk tallplantage skulle det räcka med sju.
Det sista exemplen berör en hybridlärkplantage med en mor, men tio fäder. Nyligen godkända sådana finns såväl i Danmark som Sverige. Modellen är inte helt perfekt för att behandla enklonsplantager, eftersom det inte finns någon fruktbarhetsvariation på honsidan. För lika fruktbarhet är modellen riktig, vilket ger ett effektivt antal på 3, och rimliga variationer ger effektiva antal ner mot 2.</a:t>
          </a:r>
        </a:p>
      </xdr:txBody>
    </xdr:sp>
    <xdr:clientData/>
  </xdr:twoCellAnchor>
  <xdr:twoCellAnchor>
    <xdr:from>
      <xdr:col>0</xdr:col>
      <xdr:colOff>104775</xdr:colOff>
      <xdr:row>20</xdr:row>
      <xdr:rowOff>57150</xdr:rowOff>
    </xdr:from>
    <xdr:to>
      <xdr:col>9</xdr:col>
      <xdr:colOff>438150</xdr:colOff>
      <xdr:row>24</xdr:row>
      <xdr:rowOff>19050</xdr:rowOff>
    </xdr:to>
    <xdr:sp>
      <xdr:nvSpPr>
        <xdr:cNvPr id="2" name="TextBox 5"/>
        <xdr:cNvSpPr txBox="1">
          <a:spLocks noChangeArrowheads="1"/>
        </xdr:cNvSpPr>
      </xdr:nvSpPr>
      <xdr:spPr>
        <a:xfrm>
          <a:off x="104775" y="4295775"/>
          <a:ext cx="7105650"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FF"/>
              </a:solidFill>
              <a:latin typeface="Arial"/>
              <a:ea typeface="Arial"/>
              <a:cs typeface="Arial"/>
            </a:rPr>
            <a:t>Får vi pålitligare värden på A?</a:t>
          </a:r>
          <a:r>
            <a:rPr lang="en-US" cap="none" sz="1000" b="0" i="0" u="none" baseline="0">
              <a:latin typeface="Arial"/>
              <a:ea typeface="Arial"/>
              <a:cs typeface="Arial"/>
            </a:rPr>
            <a:t>
Adolfo Bila (2000) och  Kyu-Suk Kang (2001) har skrivit doktorsavhandlingar där det ingår litteratur översikter över vad
Kang (2001) kallade  "sibling coefficient".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oleObject" Target="../embeddings/oleObject_0_3.bin" /><Relationship Id="rId6" Type="http://schemas.openxmlformats.org/officeDocument/2006/relationships/oleObject" Target="../embeddings/oleObject_0_4.bin"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oleObject" Target="../embeddings/oleObject_1_2.bin" /><Relationship Id="rId5" Type="http://schemas.openxmlformats.org/officeDocument/2006/relationships/oleObject" Target="../embeddings/oleObject_1_3.bin" /><Relationship Id="rId6" Type="http://schemas.openxmlformats.org/officeDocument/2006/relationships/oleObject" Target="../embeddings/oleObject_1_4.bin" /><Relationship Id="rId7" Type="http://schemas.openxmlformats.org/officeDocument/2006/relationships/oleObject" Target="../embeddings/oleObject_1_5.bin" /><Relationship Id="rId8" Type="http://schemas.openxmlformats.org/officeDocument/2006/relationships/oleObject" Target="../embeddings/oleObject_1_6.bin" /><Relationship Id="rId9" Type="http://schemas.openxmlformats.org/officeDocument/2006/relationships/oleObject" Target="../embeddings/oleObject_1_7.bin" /><Relationship Id="rId10" Type="http://schemas.openxmlformats.org/officeDocument/2006/relationships/oleObject" Target="../embeddings/oleObject_1_8.bin" /><Relationship Id="rId11" Type="http://schemas.openxmlformats.org/officeDocument/2006/relationships/oleObject" Target="../embeddings/oleObject_1_9.bin" /><Relationship Id="rId12" Type="http://schemas.openxmlformats.org/officeDocument/2006/relationships/oleObject" Target="../embeddings/oleObject_1_10.bin" /><Relationship Id="rId13" Type="http://schemas.openxmlformats.org/officeDocument/2006/relationships/oleObject" Target="../embeddings/oleObject_1_11.bin" /><Relationship Id="rId14" Type="http://schemas.openxmlformats.org/officeDocument/2006/relationships/oleObject" Target="../embeddings/oleObject_1_12.bin" /><Relationship Id="rId15" Type="http://schemas.openxmlformats.org/officeDocument/2006/relationships/oleObject" Target="../embeddings/oleObject_1_13.bin" /><Relationship Id="rId16" Type="http://schemas.openxmlformats.org/officeDocument/2006/relationships/vmlDrawing" Target="../drawings/vmlDrawing2.v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oleObject" Target="../embeddings/oleObject_2_2.bin" /><Relationship Id="rId5" Type="http://schemas.openxmlformats.org/officeDocument/2006/relationships/oleObject" Target="../embeddings/oleObject_2_3.bin" /><Relationship Id="rId6" Type="http://schemas.openxmlformats.org/officeDocument/2006/relationships/oleObject" Target="../embeddings/oleObject_2_4.bin" /><Relationship Id="rId7" Type="http://schemas.openxmlformats.org/officeDocument/2006/relationships/vmlDrawing" Target="../drawings/vmlDrawing3.vml" /><Relationship Id="rId8" Type="http://schemas.openxmlformats.org/officeDocument/2006/relationships/drawing" Target="../drawings/drawing1.xm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oleObject" Target="../embeddings/oleObject_3_1.bin" /><Relationship Id="rId4" Type="http://schemas.openxmlformats.org/officeDocument/2006/relationships/oleObject" Target="../embeddings/oleObject_3_2.bin" /><Relationship Id="rId5" Type="http://schemas.openxmlformats.org/officeDocument/2006/relationships/oleObject" Target="../embeddings/oleObject_3_3.bin" /><Relationship Id="rId6" Type="http://schemas.openxmlformats.org/officeDocument/2006/relationships/oleObject" Target="../embeddings/oleObject_3_4.bin" /><Relationship Id="rId7" Type="http://schemas.openxmlformats.org/officeDocument/2006/relationships/oleObject" Target="../embeddings/oleObject_3_5.bin" /><Relationship Id="rId8" Type="http://schemas.openxmlformats.org/officeDocument/2006/relationships/oleObject" Target="../embeddings/oleObject_3_6.bin" /><Relationship Id="rId9" Type="http://schemas.openxmlformats.org/officeDocument/2006/relationships/oleObject" Target="../embeddings/oleObject_3_7.bin" /><Relationship Id="rId10" Type="http://schemas.openxmlformats.org/officeDocument/2006/relationships/oleObject" Target="../embeddings/oleObject_3_8.bin" /><Relationship Id="rId11" Type="http://schemas.openxmlformats.org/officeDocument/2006/relationships/oleObject" Target="../embeddings/oleObject_3_9.bin" /><Relationship Id="rId12" Type="http://schemas.openxmlformats.org/officeDocument/2006/relationships/oleObject" Target="../embeddings/oleObject_3_10.bin" /><Relationship Id="rId13" Type="http://schemas.openxmlformats.org/officeDocument/2006/relationships/oleObject" Target="../embeddings/oleObject_3_11.bin" /><Relationship Id="rId14" Type="http://schemas.openxmlformats.org/officeDocument/2006/relationships/oleObject" Target="../embeddings/oleObject_3_12.bin" /><Relationship Id="rId15" Type="http://schemas.openxmlformats.org/officeDocument/2006/relationships/oleObject" Target="../embeddings/oleObject_3_13.bin" /><Relationship Id="rId16" Type="http://schemas.openxmlformats.org/officeDocument/2006/relationships/oleObject" Target="../embeddings/oleObject_3_14.bin" /><Relationship Id="rId17" Type="http://schemas.openxmlformats.org/officeDocument/2006/relationships/oleObject" Target="../embeddings/oleObject_3_15.bin" /><Relationship Id="rId18" Type="http://schemas.openxmlformats.org/officeDocument/2006/relationships/oleObject" Target="../embeddings/oleObject_3_16.bin" /><Relationship Id="rId19" Type="http://schemas.openxmlformats.org/officeDocument/2006/relationships/vmlDrawing" Target="../drawings/vmlDrawing4.vml" /><Relationship Id="rId2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oleObject" Target="../embeddings/oleObject_6_0.bin" /><Relationship Id="rId3" Type="http://schemas.openxmlformats.org/officeDocument/2006/relationships/oleObject" Target="../embeddings/oleObject_6_1.bin" /><Relationship Id="rId4" Type="http://schemas.openxmlformats.org/officeDocument/2006/relationships/oleObject" Target="../embeddings/oleObject_6_2.bin" /><Relationship Id="rId5" Type="http://schemas.openxmlformats.org/officeDocument/2006/relationships/vmlDrawing" Target="../drawings/vmlDrawing7.vml" /><Relationship Id="rId6" Type="http://schemas.openxmlformats.org/officeDocument/2006/relationships/drawing" Target="../drawings/drawing4.xml" /><Relationship Id="rId7"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1:J25"/>
  <sheetViews>
    <sheetView tabSelected="1" workbookViewId="0" topLeftCell="A1">
      <selection activeCell="D4" sqref="D4"/>
    </sheetView>
  </sheetViews>
  <sheetFormatPr defaultColWidth="9.140625" defaultRowHeight="12.75"/>
  <cols>
    <col min="2" max="2" width="22.28125" style="0" customWidth="1"/>
  </cols>
  <sheetData>
    <row r="1" spans="1:10" ht="19.5">
      <c r="A1" s="121" t="s">
        <v>0</v>
      </c>
      <c r="B1" s="9"/>
      <c r="C1" s="9"/>
      <c r="D1" s="9"/>
      <c r="E1" s="9"/>
      <c r="F1" s="9"/>
      <c r="H1" s="9"/>
      <c r="I1" s="1"/>
      <c r="J1" s="9" t="s">
        <v>274</v>
      </c>
    </row>
    <row r="2" spans="2:8" ht="12.75">
      <c r="B2" s="7"/>
      <c r="C2" s="1"/>
      <c r="D2" s="1"/>
      <c r="E2" s="1"/>
      <c r="F2" s="1"/>
      <c r="G2" s="1"/>
      <c r="H2" s="1"/>
    </row>
    <row r="3" spans="2:9" ht="12.75">
      <c r="B3" s="466" t="s">
        <v>271</v>
      </c>
      <c r="C3" s="467" t="s">
        <v>273</v>
      </c>
      <c r="D3" s="467" t="s">
        <v>275</v>
      </c>
      <c r="E3" s="467" t="s">
        <v>272</v>
      </c>
      <c r="F3" s="2"/>
      <c r="G3" s="64" t="s">
        <v>1</v>
      </c>
      <c r="H3" s="246" t="s">
        <v>2</v>
      </c>
      <c r="I3" s="446" t="s">
        <v>3</v>
      </c>
    </row>
    <row r="4" spans="1:3" ht="12.75">
      <c r="A4" s="12" t="s">
        <v>4</v>
      </c>
      <c r="C4" s="1"/>
    </row>
    <row r="5" spans="2:7" ht="12.75">
      <c r="B5" s="64" t="s">
        <v>55</v>
      </c>
      <c r="C5" s="65">
        <v>40</v>
      </c>
      <c r="D5" s="1"/>
      <c r="E5" s="120" t="s">
        <v>58</v>
      </c>
      <c r="F5" s="464">
        <v>-1</v>
      </c>
      <c r="G5" s="1"/>
    </row>
    <row r="6" spans="1:8" ht="12.75">
      <c r="A6" s="1"/>
      <c r="B6" s="120" t="s">
        <v>279</v>
      </c>
      <c r="C6" s="463">
        <f>(C5/100)/2</f>
        <v>0.2</v>
      </c>
      <c r="E6" s="120" t="s">
        <v>59</v>
      </c>
      <c r="F6" s="465">
        <f>C6*F5</f>
        <v>-0.2</v>
      </c>
      <c r="H6" s="22"/>
    </row>
    <row r="7" spans="1:8" ht="13.5">
      <c r="A7" s="1"/>
      <c r="B7" s="64" t="s">
        <v>56</v>
      </c>
      <c r="C7" s="445">
        <f>(1-C6)^2</f>
        <v>0.6400000000000001</v>
      </c>
      <c r="D7" s="472" t="s">
        <v>5</v>
      </c>
      <c r="E7" s="473"/>
      <c r="F7" s="473"/>
      <c r="G7" s="474"/>
      <c r="H7" s="105"/>
    </row>
    <row r="8" spans="1:9" ht="34.5" thickBot="1">
      <c r="A8" s="115"/>
      <c r="B8" s="124" t="s">
        <v>7</v>
      </c>
      <c r="C8" s="129" t="s">
        <v>61</v>
      </c>
      <c r="D8" s="128" t="s">
        <v>62</v>
      </c>
      <c r="E8" s="129" t="s">
        <v>163</v>
      </c>
      <c r="F8" s="132" t="s">
        <v>145</v>
      </c>
      <c r="G8" s="128" t="s">
        <v>9</v>
      </c>
      <c r="H8" s="107"/>
      <c r="I8" s="104"/>
    </row>
    <row r="9" spans="1:9" ht="12.75">
      <c r="A9" s="447" t="s">
        <v>11</v>
      </c>
      <c r="B9" s="21"/>
      <c r="C9" s="207">
        <v>100</v>
      </c>
      <c r="D9" s="25">
        <f>0.5/G9</f>
        <v>156.24999999999997</v>
      </c>
      <c r="E9" s="213">
        <f>1-(1/(2*D9))</f>
        <v>0.9968</v>
      </c>
      <c r="F9" s="26">
        <f>(1-$C$6)*SelBurr(C9,$C$9)+$F$6</f>
        <v>-0.2</v>
      </c>
      <c r="G9" s="448">
        <f>(0.5*C$7)/C9</f>
        <v>0.0032000000000000006</v>
      </c>
      <c r="H9" s="40"/>
      <c r="I9" s="40"/>
    </row>
    <row r="10" spans="1:9" ht="12.75">
      <c r="A10" s="449"/>
      <c r="B10" s="91" t="s">
        <v>270</v>
      </c>
      <c r="C10" s="92"/>
      <c r="D10" s="93"/>
      <c r="E10" s="94"/>
      <c r="F10" s="94"/>
      <c r="G10" s="450"/>
      <c r="H10" s="96"/>
      <c r="I10" s="96"/>
    </row>
    <row r="11" spans="1:9" ht="12.75">
      <c r="A11" s="451" t="s">
        <v>12</v>
      </c>
      <c r="B11" s="37"/>
      <c r="C11" s="37"/>
      <c r="D11" s="38"/>
      <c r="E11" s="38"/>
      <c r="F11" s="452"/>
      <c r="G11" s="453"/>
      <c r="H11" s="14"/>
      <c r="I11" s="14"/>
    </row>
    <row r="12" spans="1:9" ht="12.75">
      <c r="A12" s="451"/>
      <c r="B12" s="37" t="s">
        <v>13</v>
      </c>
      <c r="C12" s="209">
        <v>50</v>
      </c>
      <c r="D12" s="44">
        <f>0.5/G12</f>
        <v>112.35955056179776</v>
      </c>
      <c r="E12" s="212">
        <f>1-(1/(2*D12))</f>
        <v>0.99555</v>
      </c>
      <c r="F12" s="454">
        <f>SelBurr(C12,$C$9)/2+$F$6</f>
        <v>0.1958400172807508</v>
      </c>
      <c r="G12" s="455">
        <f>(0.125*(C9+(1-2*C6)*(3-2*C6)*C12))/(C9*C12)</f>
        <v>0.00445</v>
      </c>
      <c r="H12" s="14"/>
      <c r="I12" s="14"/>
    </row>
    <row r="13" spans="1:9" ht="12.75">
      <c r="A13" s="451" t="s">
        <v>14</v>
      </c>
      <c r="B13" s="37"/>
      <c r="C13" s="456"/>
      <c r="D13" s="38"/>
      <c r="E13" s="38"/>
      <c r="F13" s="452"/>
      <c r="G13" s="453"/>
      <c r="H13" s="14"/>
      <c r="I13" s="14"/>
    </row>
    <row r="14" spans="1:9" ht="12.75">
      <c r="A14" s="451"/>
      <c r="B14" s="37" t="s">
        <v>15</v>
      </c>
      <c r="C14" s="209">
        <v>80</v>
      </c>
      <c r="D14" s="44">
        <f>0.5/G14</f>
        <v>124.99999999999997</v>
      </c>
      <c r="E14" s="212">
        <f>1-(1/(2*D14))</f>
        <v>0.996</v>
      </c>
      <c r="F14" s="454">
        <f>(1-$C$6)*SelBurr(C14,$C$9)+$F$6</f>
        <v>0.07713268388600303</v>
      </c>
      <c r="G14" s="455">
        <f>(0.5*C$7)/C14</f>
        <v>0.004000000000000001</v>
      </c>
      <c r="I14" s="14"/>
    </row>
    <row r="15" spans="1:9" ht="12.75">
      <c r="A15" s="451" t="s">
        <v>34</v>
      </c>
      <c r="B15" s="37"/>
      <c r="C15" s="456"/>
      <c r="D15" s="38"/>
      <c r="E15" s="38"/>
      <c r="F15" s="452"/>
      <c r="G15" s="453"/>
      <c r="H15" s="14"/>
      <c r="I15" s="14"/>
    </row>
    <row r="16" spans="1:9" ht="12.75">
      <c r="A16" s="451"/>
      <c r="B16" s="468" t="s">
        <v>276</v>
      </c>
      <c r="C16" s="209">
        <v>50</v>
      </c>
      <c r="D16" s="38"/>
      <c r="E16" s="38"/>
      <c r="F16" s="152"/>
      <c r="G16" s="453"/>
      <c r="H16" s="37"/>
      <c r="I16" s="37"/>
    </row>
    <row r="17" spans="1:9" ht="12.75">
      <c r="A17" s="451"/>
      <c r="B17" s="37" t="s">
        <v>17</v>
      </c>
      <c r="C17" s="209">
        <v>20</v>
      </c>
      <c r="D17" s="38"/>
      <c r="E17" s="38"/>
      <c r="F17" s="152"/>
      <c r="G17" s="453"/>
      <c r="H17" s="14"/>
      <c r="I17" s="14"/>
    </row>
    <row r="18" spans="1:9" ht="12.75">
      <c r="A18" s="451"/>
      <c r="B18" s="37" t="s">
        <v>18</v>
      </c>
      <c r="C18" s="457"/>
      <c r="D18" s="44">
        <f>0.5/G18</f>
        <v>49.26108374384236</v>
      </c>
      <c r="E18" s="212">
        <f>1-(1/(2*D18))</f>
        <v>0.98985</v>
      </c>
      <c r="F18" s="454">
        <f>(SelBurr(C17,$C$9)+(1-2*$C$6)*SelBurr(C16,$C$9))/2+$F$6</f>
        <v>0.7303357200834582</v>
      </c>
      <c r="G18" s="455">
        <f>0.125*(C16+(1-2*C6)*(3-2*C6)*C17)/(C16*C17)</f>
        <v>0.010150000000000001</v>
      </c>
      <c r="H18" s="1"/>
      <c r="I18" s="14"/>
    </row>
    <row r="19" spans="1:7" ht="12.75">
      <c r="A19" s="451" t="s">
        <v>19</v>
      </c>
      <c r="B19" s="40"/>
      <c r="C19" s="456"/>
      <c r="D19" s="38"/>
      <c r="E19" s="38"/>
      <c r="F19" s="458"/>
      <c r="G19" s="453"/>
    </row>
    <row r="20" spans="1:7" ht="12.75">
      <c r="A20" s="451"/>
      <c r="B20" s="416" t="s">
        <v>20</v>
      </c>
      <c r="C20" s="459">
        <v>100</v>
      </c>
      <c r="D20" s="38"/>
      <c r="E20" s="38"/>
      <c r="F20" s="458"/>
      <c r="G20" s="453"/>
    </row>
    <row r="21" spans="1:7" ht="12.75">
      <c r="A21" s="460"/>
      <c r="B21" s="468" t="s">
        <v>188</v>
      </c>
      <c r="C21" s="209">
        <v>40</v>
      </c>
      <c r="D21" s="38"/>
      <c r="E21" s="38"/>
      <c r="F21" s="152"/>
      <c r="G21" s="453"/>
    </row>
    <row r="22" spans="1:7" ht="12.75">
      <c r="A22" s="460"/>
      <c r="B22" s="468" t="s">
        <v>189</v>
      </c>
      <c r="C22" s="209">
        <v>20</v>
      </c>
      <c r="D22" s="38"/>
      <c r="E22" s="38"/>
      <c r="F22" s="152"/>
      <c r="G22" s="453"/>
    </row>
    <row r="23" spans="1:7" ht="12.75">
      <c r="A23" s="460"/>
      <c r="B23" s="468" t="s">
        <v>146</v>
      </c>
      <c r="C23" s="209">
        <v>10</v>
      </c>
      <c r="D23" s="38"/>
      <c r="E23" s="38"/>
      <c r="F23" s="94"/>
      <c r="G23" s="453"/>
    </row>
    <row r="24" spans="1:7" ht="13.5" thickBot="1">
      <c r="A24" s="461"/>
      <c r="B24" s="109" t="s">
        <v>18</v>
      </c>
      <c r="C24" s="469">
        <f>C21+(C22-C23)</f>
        <v>50</v>
      </c>
      <c r="D24" s="111">
        <f>0.5/G24</f>
        <v>54.05405405405405</v>
      </c>
      <c r="E24" s="211">
        <f>1-(1/(2*D24))</f>
        <v>0.99075</v>
      </c>
      <c r="F24" s="112">
        <f>(SelBurr(C22,$C$20)+(1-2*$C$6)*SelBurr(C21,$C$20))/2+$F$6</f>
        <v>0.7802821350605862</v>
      </c>
      <c r="G24" s="462">
        <f>0.125*(C21+(1-2*C6)^2*C22+2*(1-2*C6)*C23)/(C21*C22)</f>
        <v>0.009250000000000001</v>
      </c>
    </row>
    <row r="25" spans="1:8" ht="12.75">
      <c r="A25" s="59"/>
      <c r="B25" s="1"/>
      <c r="C25" s="16"/>
      <c r="D25" s="1"/>
      <c r="E25" s="1"/>
      <c r="F25" s="1"/>
      <c r="G25" s="19"/>
      <c r="H25" s="1"/>
    </row>
  </sheetData>
  <mergeCells count="1">
    <mergeCell ref="D7:G7"/>
  </mergeCells>
  <printOptions/>
  <pageMargins left="0.75" right="0.75" top="1" bottom="1" header="0.5" footer="0.5"/>
  <pageSetup horizontalDpi="600" verticalDpi="600" orientation="portrait" r:id="rId8"/>
  <legacyDrawing r:id="rId7"/>
  <oleObjects>
    <oleObject progId="Equation.3" shapeId="65521577" r:id="rId2"/>
    <oleObject progId="Equation.3" shapeId="65521578" r:id="rId3"/>
    <oleObject progId="Equation.3" shapeId="65521579" r:id="rId4"/>
    <oleObject progId="Equation.3" shapeId="65521580" r:id="rId5"/>
    <oleObject progId="Equation.3" shapeId="65521581" r:id="rId6"/>
  </oleObjects>
</worksheet>
</file>

<file path=xl/worksheets/sheet2.xml><?xml version="1.0" encoding="utf-8"?>
<worksheet xmlns="http://schemas.openxmlformats.org/spreadsheetml/2006/main" xmlns:r="http://schemas.openxmlformats.org/officeDocument/2006/relationships">
  <sheetPr codeName="Sheet1"/>
  <dimension ref="A1:P29"/>
  <sheetViews>
    <sheetView workbookViewId="0" topLeftCell="A1">
      <selection activeCell="C2" sqref="C2"/>
    </sheetView>
  </sheetViews>
  <sheetFormatPr defaultColWidth="9.140625" defaultRowHeight="12.75"/>
  <cols>
    <col min="1" max="1" width="5.28125" style="0" customWidth="1"/>
    <col min="2" max="2" width="36.421875" style="0" customWidth="1"/>
    <col min="4" max="4" width="10.140625" style="0" customWidth="1"/>
    <col min="5" max="5" width="11.140625" style="0" customWidth="1"/>
    <col min="6" max="6" width="10.00390625" style="0" customWidth="1"/>
    <col min="7" max="7" width="9.8515625" style="0" customWidth="1"/>
    <col min="11" max="11" width="11.28125" style="0" customWidth="1"/>
    <col min="12" max="12" width="8.57421875" style="0" customWidth="1"/>
    <col min="15" max="15" width="9.57421875" style="0" customWidth="1"/>
  </cols>
  <sheetData>
    <row r="1" spans="1:16" ht="20.25">
      <c r="A1" s="8" t="s">
        <v>0</v>
      </c>
      <c r="B1" s="9"/>
      <c r="C1" s="9"/>
      <c r="D1" s="9"/>
      <c r="E1" s="9"/>
      <c r="F1" s="9"/>
      <c r="G1" s="9"/>
      <c r="H1" s="9" t="s">
        <v>269</v>
      </c>
      <c r="I1" s="9"/>
      <c r="J1" s="9"/>
      <c r="K1" s="9"/>
      <c r="L1" s="9"/>
      <c r="M1" s="10"/>
      <c r="N1" s="122"/>
      <c r="O1" s="10"/>
      <c r="P1" s="10"/>
    </row>
    <row r="2" spans="2:16" ht="12.75">
      <c r="B2" s="7"/>
      <c r="C2" s="1"/>
      <c r="D2" s="1"/>
      <c r="E2" s="1"/>
      <c r="F2" s="1"/>
      <c r="G2" s="1"/>
      <c r="H2" s="1"/>
      <c r="I2" s="1"/>
      <c r="J2" s="1"/>
      <c r="K2" s="1"/>
      <c r="M2" s="1"/>
      <c r="N2" s="1"/>
      <c r="O2" s="1"/>
      <c r="P2" s="1"/>
    </row>
    <row r="3" spans="5:16" ht="12.75">
      <c r="E3" s="89"/>
      <c r="F3" s="2"/>
      <c r="G3" s="1"/>
      <c r="H3" s="22" t="s">
        <v>104</v>
      </c>
      <c r="I3" s="22"/>
      <c r="J3" s="22"/>
      <c r="K3" s="22"/>
      <c r="L3" s="1"/>
      <c r="M3" s="1"/>
      <c r="N3" s="50"/>
      <c r="O3" s="1"/>
      <c r="P3" s="1"/>
    </row>
    <row r="4" spans="1:16" ht="12.75">
      <c r="A4" s="12" t="s">
        <v>4</v>
      </c>
      <c r="C4" s="1"/>
      <c r="F4" s="1"/>
      <c r="G4" s="120"/>
      <c r="H4" s="142"/>
      <c r="I4" s="1"/>
      <c r="J4" s="51"/>
      <c r="K4" s="50"/>
      <c r="L4" s="1"/>
      <c r="M4" s="51"/>
      <c r="N4" s="126"/>
      <c r="O4" s="1"/>
      <c r="P4" s="1"/>
    </row>
    <row r="5" spans="2:16" ht="15.75">
      <c r="B5" s="64" t="s">
        <v>55</v>
      </c>
      <c r="C5" s="65">
        <v>40</v>
      </c>
      <c r="D5" s="120" t="s">
        <v>58</v>
      </c>
      <c r="E5" s="215">
        <v>-1</v>
      </c>
      <c r="F5" s="1"/>
      <c r="G5" s="120" t="s">
        <v>169</v>
      </c>
      <c r="H5" s="70">
        <v>100</v>
      </c>
      <c r="I5" s="1"/>
      <c r="J5" s="244" t="s">
        <v>168</v>
      </c>
      <c r="K5" s="50">
        <f>(H5/100)^2+1</f>
        <v>2</v>
      </c>
      <c r="L5" s="1"/>
      <c r="M5" s="1"/>
      <c r="N5" s="1"/>
      <c r="O5" s="125"/>
      <c r="P5" s="1"/>
    </row>
    <row r="6" spans="1:16" ht="13.5">
      <c r="A6" s="1"/>
      <c r="B6" s="120" t="s">
        <v>57</v>
      </c>
      <c r="C6" s="66">
        <f>(C5/100)/2</f>
        <v>0.2</v>
      </c>
      <c r="D6" s="120" t="s">
        <v>59</v>
      </c>
      <c r="E6" s="34">
        <f>C6*E5</f>
        <v>-0.2</v>
      </c>
      <c r="F6" s="1"/>
      <c r="G6" s="119" t="s">
        <v>86</v>
      </c>
      <c r="H6" s="215">
        <v>1</v>
      </c>
      <c r="I6" s="1"/>
      <c r="J6" s="88"/>
      <c r="K6" s="143"/>
      <c r="L6" s="1"/>
      <c r="M6" s="1"/>
      <c r="N6" s="1"/>
      <c r="O6" s="5"/>
      <c r="P6" s="5"/>
    </row>
    <row r="7" spans="1:16" ht="13.5">
      <c r="A7" s="1"/>
      <c r="B7" s="64" t="s">
        <v>56</v>
      </c>
      <c r="C7" s="2">
        <f>(1-C6)^2</f>
        <v>0.6400000000000001</v>
      </c>
      <c r="D7" s="127" t="s">
        <v>5</v>
      </c>
      <c r="E7" s="116"/>
      <c r="F7" s="117"/>
      <c r="G7" s="118"/>
      <c r="H7" s="131" t="s">
        <v>6</v>
      </c>
      <c r="I7" s="55"/>
      <c r="J7" s="55"/>
      <c r="K7" s="55"/>
      <c r="L7" s="55"/>
      <c r="M7" s="116"/>
      <c r="N7" s="116"/>
      <c r="O7" s="144"/>
      <c r="P7" s="106"/>
    </row>
    <row r="8" spans="1:16" ht="35.25" customHeight="1" thickBot="1">
      <c r="A8" s="115"/>
      <c r="B8" s="135" t="s">
        <v>171</v>
      </c>
      <c r="C8" s="132" t="s">
        <v>67</v>
      </c>
      <c r="D8" s="128" t="s">
        <v>62</v>
      </c>
      <c r="E8" s="129" t="s">
        <v>63</v>
      </c>
      <c r="F8" s="129" t="s">
        <v>64</v>
      </c>
      <c r="G8" s="130" t="s">
        <v>65</v>
      </c>
      <c r="H8" s="133" t="s">
        <v>66</v>
      </c>
      <c r="I8" s="134" t="s">
        <v>8</v>
      </c>
      <c r="J8" s="134"/>
      <c r="K8" s="134"/>
      <c r="L8" s="128" t="s">
        <v>9</v>
      </c>
      <c r="M8" s="138" t="s">
        <v>10</v>
      </c>
      <c r="N8" s="136"/>
      <c r="O8" s="137"/>
      <c r="P8" s="104"/>
    </row>
    <row r="9" spans="1:16" ht="12.75">
      <c r="A9" s="20" t="s">
        <v>11</v>
      </c>
      <c r="B9" s="21"/>
      <c r="C9" s="207">
        <v>100</v>
      </c>
      <c r="D9" s="25">
        <f>0.5/L9</f>
        <v>78.12499999999999</v>
      </c>
      <c r="E9" s="25">
        <f>K$5/(2*L9*(K$5-1))</f>
        <v>156.24999999999997</v>
      </c>
      <c r="F9" s="213">
        <f>1-(1/(2*D9))</f>
        <v>0.9936</v>
      </c>
      <c r="G9" s="26">
        <f>(1-$C$6)*H9*$H$6+$E$6</f>
        <v>-0.2</v>
      </c>
      <c r="H9" s="67">
        <v>0</v>
      </c>
      <c r="I9" s="67"/>
      <c r="J9" s="67"/>
      <c r="K9" s="67"/>
      <c r="L9" s="63">
        <f>(0.5*K5*C$7)/C9</f>
        <v>0.006400000000000001</v>
      </c>
      <c r="M9" s="40"/>
      <c r="N9" s="40"/>
      <c r="O9" s="40"/>
      <c r="P9" s="40"/>
    </row>
    <row r="10" spans="1:16" ht="12.75">
      <c r="A10" s="90"/>
      <c r="B10" s="91" t="s">
        <v>51</v>
      </c>
      <c r="C10" s="92"/>
      <c r="D10" s="93"/>
      <c r="E10" s="93"/>
      <c r="F10" s="94"/>
      <c r="G10" s="95"/>
      <c r="H10" s="39"/>
      <c r="I10" s="39"/>
      <c r="J10" s="39"/>
      <c r="K10" s="39"/>
      <c r="L10" s="97"/>
      <c r="M10" s="96"/>
      <c r="N10" s="96"/>
      <c r="O10" s="96"/>
      <c r="P10" s="96"/>
    </row>
    <row r="11" spans="1:16" ht="12.75">
      <c r="A11" s="15" t="s">
        <v>12</v>
      </c>
      <c r="B11" s="14"/>
      <c r="C11" s="14"/>
      <c r="D11" s="29"/>
      <c r="E11" s="29"/>
      <c r="F11" s="29"/>
      <c r="G11" s="30"/>
      <c r="H11" s="34"/>
      <c r="I11" s="34"/>
      <c r="J11" s="34"/>
      <c r="K11" s="34"/>
      <c r="L11" s="60"/>
      <c r="M11" s="37"/>
      <c r="N11" s="37"/>
      <c r="O11" s="14"/>
      <c r="P11" s="14"/>
    </row>
    <row r="12" spans="1:16" ht="12.75">
      <c r="A12" s="15"/>
      <c r="B12" s="14" t="s">
        <v>13</v>
      </c>
      <c r="C12" s="6">
        <v>50</v>
      </c>
      <c r="D12" s="27">
        <f>0.5/L12</f>
        <v>56.17977528089888</v>
      </c>
      <c r="E12" s="44">
        <f>K$5/(2*L12*(K$5-1))</f>
        <v>112.35955056179776</v>
      </c>
      <c r="F12" s="212">
        <f>1-(1/(2*D12))</f>
        <v>0.9911</v>
      </c>
      <c r="G12" s="28">
        <f>H12*$H$6/2+$E$6</f>
        <v>0.1958400172807508</v>
      </c>
      <c r="H12" s="68">
        <f>SelBurr(C12,$C$9)</f>
        <v>0.7916800345615016</v>
      </c>
      <c r="I12" s="68"/>
      <c r="J12" s="68"/>
      <c r="K12" s="68"/>
      <c r="L12" s="62">
        <f>(K5*(C9+(1-2*C6)*(3-2*C6)*C12))/(8*C9*C12)</f>
        <v>0.0089</v>
      </c>
      <c r="M12" s="37"/>
      <c r="N12" s="37"/>
      <c r="O12" s="14"/>
      <c r="P12" s="14"/>
    </row>
    <row r="13" spans="1:16" ht="12.75">
      <c r="A13" s="15" t="s">
        <v>14</v>
      </c>
      <c r="B13" s="14"/>
      <c r="C13" s="17"/>
      <c r="D13" s="29"/>
      <c r="E13" s="29"/>
      <c r="F13" s="29"/>
      <c r="G13" s="30"/>
      <c r="H13" s="68"/>
      <c r="I13" s="68"/>
      <c r="J13" s="68"/>
      <c r="K13" s="68"/>
      <c r="L13" s="61"/>
      <c r="M13" s="37"/>
      <c r="N13" s="37"/>
      <c r="O13" s="14"/>
      <c r="P13" s="14"/>
    </row>
    <row r="14" spans="1:16" ht="12.75">
      <c r="A14" s="15"/>
      <c r="B14" s="14" t="s">
        <v>15</v>
      </c>
      <c r="C14" s="6">
        <v>40</v>
      </c>
      <c r="D14" s="27">
        <f>0.5/L14</f>
        <v>31.249999999999993</v>
      </c>
      <c r="E14" s="44">
        <f>K$5/(2*L14*(K$5-1))</f>
        <v>62.499999999999986</v>
      </c>
      <c r="F14" s="212">
        <f>1-(1/(2*D14))</f>
        <v>0.984</v>
      </c>
      <c r="G14" s="28">
        <f>(1-$C$6)*H14*$H$6+$E$6</f>
        <v>0.5665344675882098</v>
      </c>
      <c r="H14" s="68">
        <f>SelBurr(C14,$C$9)</f>
        <v>0.9581680844852621</v>
      </c>
      <c r="I14" s="68"/>
      <c r="J14" s="68"/>
      <c r="K14" s="68"/>
      <c r="L14" s="62">
        <f>(0.5*K5*C$7)/C14</f>
        <v>0.016000000000000004</v>
      </c>
      <c r="M14" s="40"/>
      <c r="N14" s="40"/>
      <c r="O14" s="14"/>
      <c r="P14" s="14"/>
    </row>
    <row r="15" spans="1:16" ht="12.75">
      <c r="A15" s="15" t="s">
        <v>34</v>
      </c>
      <c r="B15" s="14"/>
      <c r="C15" s="17"/>
      <c r="D15" s="29"/>
      <c r="E15" s="29"/>
      <c r="F15" s="29"/>
      <c r="G15" s="30"/>
      <c r="H15" s="68"/>
      <c r="I15" s="68"/>
      <c r="J15" s="68"/>
      <c r="K15" s="68"/>
      <c r="L15" s="61"/>
      <c r="M15" s="37"/>
      <c r="N15" s="37"/>
      <c r="O15" s="14"/>
      <c r="P15" s="14"/>
    </row>
    <row r="16" spans="1:16" ht="12.75">
      <c r="A16" s="36"/>
      <c r="B16" s="37" t="s">
        <v>16</v>
      </c>
      <c r="C16" s="246">
        <v>50</v>
      </c>
      <c r="D16" s="38"/>
      <c r="E16" s="38"/>
      <c r="F16" s="38"/>
      <c r="G16" s="39"/>
      <c r="H16" s="69">
        <f>SelBurr(C16,$C$9)</f>
        <v>0.7916800345615016</v>
      </c>
      <c r="I16" s="69"/>
      <c r="J16" s="69"/>
      <c r="K16" s="69"/>
      <c r="L16" s="61"/>
      <c r="M16" s="37"/>
      <c r="N16" s="37"/>
      <c r="O16" s="37"/>
      <c r="P16" s="37"/>
    </row>
    <row r="17" spans="1:16" ht="12.75">
      <c r="A17" s="15"/>
      <c r="B17" s="14" t="s">
        <v>17</v>
      </c>
      <c r="C17" s="6">
        <v>20</v>
      </c>
      <c r="D17" s="29"/>
      <c r="E17" s="29"/>
      <c r="F17" s="29"/>
      <c r="G17" s="31"/>
      <c r="H17" s="68">
        <f>SelBurr(C17,$C$9)</f>
        <v>1.3856634194300153</v>
      </c>
      <c r="I17" s="68"/>
      <c r="J17" s="68"/>
      <c r="K17" s="68"/>
      <c r="L17" s="61"/>
      <c r="M17" s="37"/>
      <c r="N17" s="37"/>
      <c r="O17" s="14"/>
      <c r="P17" s="14"/>
    </row>
    <row r="18" spans="1:16" ht="12.75">
      <c r="A18" s="15"/>
      <c r="B18" s="14" t="s">
        <v>18</v>
      </c>
      <c r="C18" s="18"/>
      <c r="D18" s="27">
        <f>0.5/L18</f>
        <v>24.63054187192118</v>
      </c>
      <c r="E18" s="44">
        <f>K$5/(2*L18*(K$5-1))</f>
        <v>49.26108374384236</v>
      </c>
      <c r="F18" s="212">
        <f>1-(1/(2*D18))</f>
        <v>0.9797</v>
      </c>
      <c r="G18" s="28">
        <f>(H17+(1-2*$C$6)*H16)*$H$6/2+$E$6</f>
        <v>0.7303357200834582</v>
      </c>
      <c r="H18" s="68"/>
      <c r="I18" s="68"/>
      <c r="J18" s="68"/>
      <c r="K18" s="68"/>
      <c r="L18" s="62">
        <f>K5*(C16+(1-2*C6)*(3-2*C6)*C17)/(8*C16*C17)</f>
        <v>0.020300000000000002</v>
      </c>
      <c r="M18" s="13"/>
      <c r="N18" s="13"/>
      <c r="O18" s="14"/>
      <c r="P18" s="14"/>
    </row>
    <row r="19" spans="1:14" ht="12.75">
      <c r="A19" s="15" t="s">
        <v>19</v>
      </c>
      <c r="C19" s="17"/>
      <c r="D19" s="29"/>
      <c r="E19" s="29"/>
      <c r="F19" s="29"/>
      <c r="G19" s="32"/>
      <c r="H19" s="68"/>
      <c r="I19" s="68"/>
      <c r="J19" s="68"/>
      <c r="K19" s="68"/>
      <c r="L19" s="61"/>
      <c r="M19" s="40"/>
      <c r="N19" s="40"/>
    </row>
    <row r="20" spans="1:14" ht="12.75">
      <c r="A20" s="15"/>
      <c r="B20" s="24" t="s">
        <v>20</v>
      </c>
      <c r="C20" s="245">
        <v>100</v>
      </c>
      <c r="D20" s="29"/>
      <c r="E20" s="29"/>
      <c r="F20" s="29"/>
      <c r="G20" s="32"/>
      <c r="H20" s="68"/>
      <c r="I20" s="68"/>
      <c r="J20" s="68"/>
      <c r="K20" s="68"/>
      <c r="L20" s="60"/>
      <c r="M20" s="40"/>
      <c r="N20" s="40"/>
    </row>
    <row r="21" spans="1:14" ht="12.75">
      <c r="A21" s="59"/>
      <c r="B21" s="14" t="s">
        <v>188</v>
      </c>
      <c r="C21" s="6">
        <v>40</v>
      </c>
      <c r="D21" s="29"/>
      <c r="E21" s="29"/>
      <c r="F21" s="29"/>
      <c r="G21" s="31"/>
      <c r="H21" s="68">
        <f>SelBurr(C21,$C$20)</f>
        <v>0.9581680844852621</v>
      </c>
      <c r="I21" s="68"/>
      <c r="J21" s="68"/>
      <c r="K21" s="68"/>
      <c r="L21" s="61"/>
      <c r="M21" s="40"/>
      <c r="N21" s="40"/>
    </row>
    <row r="22" spans="1:14" ht="12.75">
      <c r="A22" s="59"/>
      <c r="B22" s="14" t="s">
        <v>189</v>
      </c>
      <c r="C22" s="6">
        <v>20</v>
      </c>
      <c r="D22" s="29"/>
      <c r="E22" s="29"/>
      <c r="F22" s="29"/>
      <c r="G22" s="31"/>
      <c r="H22" s="68">
        <f>SelBurr(C22,$C$20)</f>
        <v>1.3856634194300153</v>
      </c>
      <c r="I22" s="68"/>
      <c r="J22" s="68"/>
      <c r="K22" s="68"/>
      <c r="L22" s="61"/>
      <c r="M22" s="40"/>
      <c r="N22" s="40"/>
    </row>
    <row r="23" spans="1:14" ht="12.75">
      <c r="A23" s="59"/>
      <c r="B23" s="14" t="s">
        <v>146</v>
      </c>
      <c r="C23" s="6">
        <v>10</v>
      </c>
      <c r="D23" s="29"/>
      <c r="E23" s="29"/>
      <c r="F23" s="29"/>
      <c r="G23" s="33"/>
      <c r="H23" s="19"/>
      <c r="I23" s="19"/>
      <c r="J23" s="19"/>
      <c r="K23" s="19"/>
      <c r="L23" s="61"/>
      <c r="M23" s="40"/>
      <c r="N23" s="40"/>
    </row>
    <row r="24" spans="1:15" ht="13.5" thickBot="1">
      <c r="A24" s="108"/>
      <c r="B24" s="109" t="s">
        <v>18</v>
      </c>
      <c r="C24" s="110">
        <f>C21+(C22-C23)</f>
        <v>50</v>
      </c>
      <c r="D24" s="111">
        <f>0.5/L24</f>
        <v>27.027027027027025</v>
      </c>
      <c r="E24" s="111">
        <f>K$5/(2*L24*(K$5-1))</f>
        <v>54.05405405405405</v>
      </c>
      <c r="F24" s="211">
        <f>1-(1/(2*D24))</f>
        <v>0.9815</v>
      </c>
      <c r="G24" s="112">
        <f>(H22+(1-2*$C$6)*H21)*$H$6/2+$E$6</f>
        <v>0.7802821350605862</v>
      </c>
      <c r="H24" s="113"/>
      <c r="I24" s="113"/>
      <c r="J24" s="113"/>
      <c r="K24" s="113"/>
      <c r="L24" s="114">
        <f>K5*(C21+(1-2*C6)^2*C22+2*(1-2*C6)*C23)/(8*C21*C22)</f>
        <v>0.018500000000000003</v>
      </c>
      <c r="M24" s="103"/>
      <c r="N24" s="103"/>
      <c r="O24" s="103"/>
    </row>
    <row r="25" spans="1:12" ht="12.75">
      <c r="A25" s="59"/>
      <c r="B25" s="1"/>
      <c r="C25" s="16"/>
      <c r="D25" s="1"/>
      <c r="E25" s="1"/>
      <c r="F25" s="1"/>
      <c r="G25" s="1"/>
      <c r="H25" s="19"/>
      <c r="I25" s="19"/>
      <c r="J25" s="19"/>
      <c r="K25" s="19"/>
      <c r="L25" s="1"/>
    </row>
    <row r="26" spans="1:16" ht="12.75">
      <c r="A26" s="57"/>
      <c r="B26" s="40"/>
      <c r="C26" s="40"/>
      <c r="H26" s="40"/>
      <c r="I26" s="40"/>
      <c r="J26" s="40"/>
      <c r="K26" s="40"/>
      <c r="L26" s="40"/>
      <c r="M26" s="40"/>
      <c r="N26" s="40"/>
      <c r="O26" s="40"/>
      <c r="P26" s="40"/>
    </row>
    <row r="27" spans="1:16" ht="12.75">
      <c r="A27" s="57"/>
      <c r="B27" s="40"/>
      <c r="C27" s="40"/>
      <c r="H27" s="40"/>
      <c r="I27" s="40"/>
      <c r="J27" s="40"/>
      <c r="K27" s="40"/>
      <c r="L27" s="40"/>
      <c r="M27" s="40"/>
      <c r="N27" s="40"/>
      <c r="O27" s="40"/>
      <c r="P27" s="40"/>
    </row>
    <row r="28" spans="1:3" ht="12.75">
      <c r="A28" s="59"/>
      <c r="C28" s="43"/>
    </row>
    <row r="29" ht="12.75">
      <c r="A29" s="58"/>
    </row>
  </sheetData>
  <printOptions/>
  <pageMargins left="0.75" right="0.75" top="1" bottom="1" header="0.5" footer="0.5"/>
  <pageSetup horizontalDpi="600" verticalDpi="600" orientation="portrait" paperSize="9" r:id="rId17"/>
  <legacyDrawing r:id="rId16"/>
  <oleObjects>
    <oleObject progId="Equation.3" shapeId="2596972" r:id="rId2"/>
    <oleObject progId="Equation.3" shapeId="2596980" r:id="rId3"/>
    <oleObject progId="Equation.3" shapeId="2596981" r:id="rId4"/>
    <oleObject progId="Equation.2" shapeId="2596982" r:id="rId5"/>
    <oleObject progId="Equation.3" shapeId="2596983" r:id="rId6"/>
    <oleObject progId="Equation.3" shapeId="2596984" r:id="rId7"/>
    <oleObject progId="Equation.3" shapeId="2596985" r:id="rId8"/>
    <oleObject progId="Equation.3" shapeId="2596986" r:id="rId9"/>
    <oleObject progId="Equation.3" shapeId="2596987" r:id="rId10"/>
    <oleObject progId="Equation.3" shapeId="2596988" r:id="rId11"/>
    <oleObject progId="Equation.3" shapeId="2596989" r:id="rId12"/>
    <oleObject progId="Equation.3" shapeId="2596990" r:id="rId13"/>
    <oleObject progId="Equation.3" shapeId="2596991" r:id="rId14"/>
    <oleObject progId="Equation.3" shapeId="2596992" r:id="rId15"/>
  </oleObjects>
</worksheet>
</file>

<file path=xl/worksheets/sheet3.xml><?xml version="1.0" encoding="utf-8"?>
<worksheet xmlns="http://schemas.openxmlformats.org/spreadsheetml/2006/main" xmlns:r="http://schemas.openxmlformats.org/officeDocument/2006/relationships">
  <sheetPr codeName="Sheet11"/>
  <dimension ref="A1:X111"/>
  <sheetViews>
    <sheetView workbookViewId="0" topLeftCell="A1">
      <selection activeCell="B3" sqref="B3"/>
    </sheetView>
  </sheetViews>
  <sheetFormatPr defaultColWidth="9.140625" defaultRowHeight="12.75"/>
  <cols>
    <col min="1" max="1" width="3.7109375" style="1" customWidth="1"/>
    <col min="2" max="2" width="38.7109375" style="1" customWidth="1"/>
    <col min="3" max="3" width="9.421875" style="1" customWidth="1"/>
    <col min="4" max="4" width="9.7109375" style="1" customWidth="1"/>
    <col min="5" max="5" width="11.140625" style="1" customWidth="1"/>
    <col min="6" max="6" width="10.421875" style="1" customWidth="1"/>
    <col min="7" max="7" width="9.00390625" style="1" customWidth="1"/>
    <col min="8" max="8" width="9.28125" style="1" customWidth="1"/>
    <col min="9" max="9" width="0.13671875" style="1" customWidth="1"/>
    <col min="10" max="10" width="9.8515625" style="1" customWidth="1"/>
    <col min="11" max="11" width="5.421875" style="1" customWidth="1"/>
    <col min="12" max="12" width="4.421875" style="1" customWidth="1"/>
    <col min="13" max="13" width="6.421875" style="1" customWidth="1"/>
    <col min="14" max="14" width="5.57421875" style="1" customWidth="1"/>
    <col min="15" max="15" width="2.8515625" style="1" customWidth="1"/>
    <col min="16" max="16" width="6.28125" style="1" customWidth="1"/>
    <col min="17" max="17" width="6.00390625" style="1" customWidth="1"/>
    <col min="18" max="18" width="5.57421875" style="1" customWidth="1"/>
    <col min="19" max="19" width="5.421875" style="1" customWidth="1"/>
    <col min="20" max="20" width="4.7109375" style="1" customWidth="1"/>
    <col min="21" max="21" width="5.57421875" style="1" customWidth="1"/>
    <col min="22" max="22" width="7.421875" style="48" customWidth="1"/>
    <col min="24" max="24" width="7.8515625" style="1" customWidth="1"/>
    <col min="25" max="16384" width="6.7109375" style="1" customWidth="1"/>
  </cols>
  <sheetData>
    <row r="1" spans="1:19" ht="22.5" customHeight="1">
      <c r="A1" s="8" t="s">
        <v>0</v>
      </c>
      <c r="B1" s="9"/>
      <c r="C1" s="9"/>
      <c r="D1" s="9"/>
      <c r="E1" s="9"/>
      <c r="F1" s="9"/>
      <c r="G1" s="9"/>
      <c r="H1" s="9" t="s">
        <v>170</v>
      </c>
      <c r="I1" s="9"/>
      <c r="J1" s="9"/>
      <c r="K1" s="9"/>
      <c r="L1" s="9"/>
      <c r="M1" s="122"/>
      <c r="N1" s="10"/>
      <c r="O1" s="10"/>
      <c r="P1"/>
      <c r="Q1" s="9"/>
      <c r="R1"/>
      <c r="S1"/>
    </row>
    <row r="2" spans="1:24" ht="14.25" customHeight="1">
      <c r="A2"/>
      <c r="B2" s="7"/>
      <c r="L2"/>
      <c r="P2"/>
      <c r="Q2" s="101"/>
      <c r="R2"/>
      <c r="S2"/>
      <c r="T2"/>
      <c r="U2"/>
      <c r="V2" s="49"/>
      <c r="X2"/>
    </row>
    <row r="3" spans="1:24" ht="15.75" customHeight="1">
      <c r="A3"/>
      <c r="B3"/>
      <c r="C3"/>
      <c r="D3"/>
      <c r="E3" s="89"/>
      <c r="F3" s="2"/>
      <c r="H3" s="22" t="s">
        <v>33</v>
      </c>
      <c r="I3" s="22"/>
      <c r="J3" s="22"/>
      <c r="K3" s="22"/>
      <c r="M3" s="50"/>
      <c r="R3" s="50"/>
      <c r="T3" s="47" t="s">
        <v>24</v>
      </c>
      <c r="U3" s="47" t="s">
        <v>60</v>
      </c>
      <c r="V3" s="53" t="s">
        <v>26</v>
      </c>
      <c r="X3" s="52"/>
    </row>
    <row r="4" spans="1:24" ht="16.5" customHeight="1">
      <c r="A4" s="12" t="s">
        <v>4</v>
      </c>
      <c r="B4"/>
      <c r="D4"/>
      <c r="E4"/>
      <c r="G4" s="120" t="s">
        <v>87</v>
      </c>
      <c r="H4" s="70">
        <v>86.6</v>
      </c>
      <c r="J4" s="243" t="s">
        <v>172</v>
      </c>
      <c r="K4" s="50">
        <f>(H4/100)^2+1</f>
        <v>1.749956</v>
      </c>
      <c r="M4" s="243" t="s">
        <v>174</v>
      </c>
      <c r="N4" s="50">
        <f>0.25*(K4+(1-2*C6)^2*K5+2*(1-2*C6)+2*K6*(1-2*C6)*SQRT((K4-1)*(K5-1)))/(1-C6)^2</f>
        <v>1.2226431875</v>
      </c>
      <c r="P4" s="51" t="s">
        <v>25</v>
      </c>
      <c r="Q4" s="50">
        <f>N4*(1+SQRT(1-1/N4))</f>
        <v>1.7443837134706783</v>
      </c>
      <c r="T4">
        <v>1</v>
      </c>
      <c r="U4">
        <f aca="true" t="shared" si="0" ref="U4:U35">T4/100</f>
        <v>0.01</v>
      </c>
      <c r="V4" s="49">
        <f aca="true" t="shared" si="1" ref="V4:V9">U4^$Q$4</f>
        <v>0.00032451335397603096</v>
      </c>
      <c r="X4"/>
    </row>
    <row r="5" spans="1:24" ht="15.75">
      <c r="A5"/>
      <c r="B5" s="64" t="s">
        <v>55</v>
      </c>
      <c r="C5" s="65">
        <v>40</v>
      </c>
      <c r="D5" s="120" t="s">
        <v>58</v>
      </c>
      <c r="E5" s="215">
        <v>-1</v>
      </c>
      <c r="G5" s="120" t="s">
        <v>88</v>
      </c>
      <c r="H5" s="70">
        <v>86.6</v>
      </c>
      <c r="J5" s="243" t="s">
        <v>173</v>
      </c>
      <c r="K5" s="50">
        <f>(H5/100)^2+1</f>
        <v>1.749956</v>
      </c>
      <c r="R5" s="46"/>
      <c r="S5"/>
      <c r="T5">
        <v>2</v>
      </c>
      <c r="U5">
        <f t="shared" si="0"/>
        <v>0.02</v>
      </c>
      <c r="V5" s="49">
        <f t="shared" si="1"/>
        <v>0.0010872874989152454</v>
      </c>
      <c r="X5"/>
    </row>
    <row r="6" spans="2:24" ht="13.5">
      <c r="B6" s="120" t="s">
        <v>57</v>
      </c>
      <c r="C6" s="66">
        <f>(C5/100)/2</f>
        <v>0.2</v>
      </c>
      <c r="D6" s="120" t="s">
        <v>59</v>
      </c>
      <c r="E6" s="34">
        <f>C6*E5</f>
        <v>-0.2</v>
      </c>
      <c r="G6" s="119" t="s">
        <v>86</v>
      </c>
      <c r="H6" s="215">
        <v>1</v>
      </c>
      <c r="J6" s="88" t="s">
        <v>68</v>
      </c>
      <c r="K6" s="123">
        <v>-0.5</v>
      </c>
      <c r="N6" s="5"/>
      <c r="O6" s="5"/>
      <c r="Q6" s="88"/>
      <c r="R6"/>
      <c r="S6"/>
      <c r="T6">
        <v>3</v>
      </c>
      <c r="U6">
        <f t="shared" si="0"/>
        <v>0.03</v>
      </c>
      <c r="V6" s="49">
        <f t="shared" si="1"/>
        <v>0.0022055409167985964</v>
      </c>
      <c r="X6"/>
    </row>
    <row r="7" spans="2:24" ht="15.75" customHeight="1">
      <c r="B7" s="64" t="s">
        <v>56</v>
      </c>
      <c r="C7" s="2">
        <f>(1-C6)^2</f>
        <v>0.6400000000000001</v>
      </c>
      <c r="D7" s="127" t="s">
        <v>5</v>
      </c>
      <c r="E7" s="116"/>
      <c r="F7" s="117"/>
      <c r="G7" s="118"/>
      <c r="H7" s="151"/>
      <c r="I7" s="149" t="s">
        <v>54</v>
      </c>
      <c r="J7" s="150"/>
      <c r="K7" s="147"/>
      <c r="L7" s="104"/>
      <c r="M7" s="106"/>
      <c r="N7" s="145"/>
      <c r="O7" s="106"/>
      <c r="P7" s="104"/>
      <c r="Q7" s="104"/>
      <c r="R7" s="14"/>
      <c r="S7" s="14"/>
      <c r="T7">
        <v>4</v>
      </c>
      <c r="U7">
        <f t="shared" si="0"/>
        <v>0.04</v>
      </c>
      <c r="V7" s="49">
        <f t="shared" si="1"/>
        <v>0.0036429752144643275</v>
      </c>
      <c r="X7"/>
    </row>
    <row r="8" spans="1:24" ht="33.75" customHeight="1" thickBot="1">
      <c r="A8" s="115"/>
      <c r="B8" s="135" t="s">
        <v>7</v>
      </c>
      <c r="C8" s="132" t="s">
        <v>67</v>
      </c>
      <c r="D8" s="128" t="s">
        <v>62</v>
      </c>
      <c r="E8" s="129" t="s">
        <v>63</v>
      </c>
      <c r="F8" s="129" t="s">
        <v>64</v>
      </c>
      <c r="G8" s="130" t="s">
        <v>65</v>
      </c>
      <c r="H8" s="133" t="s">
        <v>66</v>
      </c>
      <c r="I8" s="134"/>
      <c r="J8" s="128" t="s">
        <v>9</v>
      </c>
      <c r="K8" s="148"/>
      <c r="L8" s="13"/>
      <c r="M8" s="146"/>
      <c r="N8" s="104"/>
      <c r="O8" s="104"/>
      <c r="P8" s="104"/>
      <c r="Q8" s="104"/>
      <c r="R8" s="41"/>
      <c r="S8" s="45"/>
      <c r="T8">
        <v>5</v>
      </c>
      <c r="U8">
        <f t="shared" si="0"/>
        <v>0.05</v>
      </c>
      <c r="V8" s="49">
        <f t="shared" si="1"/>
        <v>0.005376559605433223</v>
      </c>
      <c r="X8"/>
    </row>
    <row r="9" spans="1:24" s="13" customFormat="1" ht="12.75">
      <c r="A9" s="20" t="s">
        <v>11</v>
      </c>
      <c r="B9" s="21"/>
      <c r="C9" s="207">
        <v>100</v>
      </c>
      <c r="D9" s="25">
        <f>0.5/J9</f>
        <v>127.7968925009857</v>
      </c>
      <c r="E9" s="25">
        <f>N$4/(2*J9*(N$4-1))</f>
        <v>701.7955579709802</v>
      </c>
      <c r="F9" s="213">
        <f>1-(1/(2*D9))</f>
        <v>0.9960875418</v>
      </c>
      <c r="G9" s="26">
        <f>(1-$C$6)*H9*$H$6+$E$6</f>
        <v>-0.2</v>
      </c>
      <c r="H9" s="67">
        <v>0</v>
      </c>
      <c r="I9" s="67"/>
      <c r="J9" s="63">
        <f>(0.5*N4*C$7)/C9</f>
        <v>0.0039124582</v>
      </c>
      <c r="K9" s="67"/>
      <c r="M9" s="40"/>
      <c r="N9" s="40"/>
      <c r="O9" s="40"/>
      <c r="P9" s="14"/>
      <c r="Q9" s="14"/>
      <c r="R9" s="2"/>
      <c r="T9">
        <v>6</v>
      </c>
      <c r="U9">
        <f t="shared" si="0"/>
        <v>0.06</v>
      </c>
      <c r="V9" s="49">
        <f t="shared" si="1"/>
        <v>0.007389702265868256</v>
      </c>
      <c r="X9"/>
    </row>
    <row r="10" spans="1:24" s="99" customFormat="1" ht="12.75">
      <c r="A10" s="90"/>
      <c r="B10" s="91" t="s">
        <v>51</v>
      </c>
      <c r="C10" s="92"/>
      <c r="D10" s="93"/>
      <c r="E10" s="93"/>
      <c r="F10" s="94"/>
      <c r="G10" s="95"/>
      <c r="H10" s="39"/>
      <c r="I10" s="39"/>
      <c r="J10" s="97"/>
      <c r="K10" s="39"/>
      <c r="M10" s="96"/>
      <c r="N10" s="96"/>
      <c r="O10" s="96"/>
      <c r="P10" s="98"/>
      <c r="Q10" s="98"/>
      <c r="R10" s="66"/>
      <c r="T10">
        <v>7</v>
      </c>
      <c r="U10">
        <f t="shared" si="0"/>
        <v>0.07</v>
      </c>
      <c r="V10" s="49">
        <f aca="true" t="shared" si="2" ref="V10:V41">U10^$Q$4</f>
        <v>0.009669584887491197</v>
      </c>
      <c r="X10" s="100"/>
    </row>
    <row r="11" spans="1:24" s="13" customFormat="1" ht="12.75">
      <c r="A11" s="15" t="s">
        <v>12</v>
      </c>
      <c r="B11" s="14"/>
      <c r="C11" s="14"/>
      <c r="D11" s="29"/>
      <c r="E11" s="29"/>
      <c r="F11" s="29"/>
      <c r="G11" s="30"/>
      <c r="H11" s="34"/>
      <c r="I11" s="34"/>
      <c r="J11" s="60"/>
      <c r="K11" s="34"/>
      <c r="M11" s="37"/>
      <c r="N11" s="37"/>
      <c r="O11" s="14"/>
      <c r="P11" s="14"/>
      <c r="Q11" s="14"/>
      <c r="R11" s="2"/>
      <c r="T11">
        <v>8</v>
      </c>
      <c r="U11">
        <f t="shared" si="0"/>
        <v>0.08</v>
      </c>
      <c r="V11" s="49">
        <f t="shared" si="2"/>
        <v>0.01220585027091892</v>
      </c>
      <c r="X11"/>
    </row>
    <row r="12" spans="1:24" s="13" customFormat="1" ht="12.75">
      <c r="A12" s="15"/>
      <c r="B12" s="14" t="s">
        <v>13</v>
      </c>
      <c r="C12" s="208">
        <v>50</v>
      </c>
      <c r="D12" s="27">
        <f>0.5/J12</f>
        <v>91.89888898947287</v>
      </c>
      <c r="E12" s="44">
        <f>N$4/(2*J12*(N$4-1))</f>
        <v>504.66197427126673</v>
      </c>
      <c r="F12" s="212">
        <f>1-(1/(2*D12))</f>
        <v>0.994559237815625</v>
      </c>
      <c r="G12" s="28">
        <f>H12*$H$6/2+$E$6</f>
        <v>0.1958400172807508</v>
      </c>
      <c r="H12" s="68">
        <f>SelBurr(C12,$C$9)</f>
        <v>0.7916800345615016</v>
      </c>
      <c r="I12" s="68"/>
      <c r="J12" s="62">
        <f>(N4*(C9+(1-2*C6)*(3-2*C6)*C12))/(8*C9*C12)</f>
        <v>0.005440762184375</v>
      </c>
      <c r="K12" s="68"/>
      <c r="M12" s="37"/>
      <c r="N12" s="37"/>
      <c r="O12" s="14"/>
      <c r="P12" s="14"/>
      <c r="Q12" s="14"/>
      <c r="R12" s="41"/>
      <c r="T12">
        <v>9</v>
      </c>
      <c r="U12">
        <f t="shared" si="0"/>
        <v>0.09</v>
      </c>
      <c r="V12" s="49">
        <f t="shared" si="2"/>
        <v>0.014989863055164402</v>
      </c>
      <c r="X12"/>
    </row>
    <row r="13" spans="1:24" s="13" customFormat="1" ht="12.75">
      <c r="A13" s="15" t="s">
        <v>14</v>
      </c>
      <c r="B13" s="14"/>
      <c r="C13" s="17"/>
      <c r="D13" s="29"/>
      <c r="E13" s="29"/>
      <c r="F13" s="29"/>
      <c r="G13" s="30"/>
      <c r="H13" s="68"/>
      <c r="I13" s="68"/>
      <c r="J13" s="61"/>
      <c r="K13" s="68"/>
      <c r="M13" s="37"/>
      <c r="N13" s="37"/>
      <c r="O13" s="14"/>
      <c r="P13" s="14"/>
      <c r="Q13" s="14"/>
      <c r="R13" s="2"/>
      <c r="T13">
        <v>10</v>
      </c>
      <c r="U13">
        <f t="shared" si="0"/>
        <v>0.1</v>
      </c>
      <c r="V13" s="49">
        <f t="shared" si="2"/>
        <v>0.018014254188725966</v>
      </c>
      <c r="X13"/>
    </row>
    <row r="14" spans="1:24" s="13" customFormat="1" ht="12.75">
      <c r="A14" s="15"/>
      <c r="B14" s="14" t="s">
        <v>15</v>
      </c>
      <c r="C14" s="208">
        <v>50</v>
      </c>
      <c r="D14" s="27">
        <f>0.5/J14</f>
        <v>63.89844625049285</v>
      </c>
      <c r="E14" s="44">
        <f>N$4/(2*J14*(N$4-1))</f>
        <v>350.8977789854901</v>
      </c>
      <c r="F14" s="212">
        <f>1-(1/(2*D14))</f>
        <v>0.9921750836</v>
      </c>
      <c r="G14" s="28">
        <f>(1-$C$6)*H14*$H$6+$E$6</f>
        <v>0.43334402764920127</v>
      </c>
      <c r="H14" s="68">
        <f>SelBurr(C14,$C$9)</f>
        <v>0.7916800345615016</v>
      </c>
      <c r="I14" s="68"/>
      <c r="J14" s="62">
        <f>(0.5*N4*C$7)/C14</f>
        <v>0.0078249164</v>
      </c>
      <c r="K14" s="68"/>
      <c r="M14" s="40"/>
      <c r="N14" s="37"/>
      <c r="O14" s="14"/>
      <c r="P14" s="14"/>
      <c r="Q14" s="14"/>
      <c r="R14" s="41"/>
      <c r="T14">
        <v>11</v>
      </c>
      <c r="U14">
        <f t="shared" si="0"/>
        <v>0.11</v>
      </c>
      <c r="V14" s="49">
        <f t="shared" si="2"/>
        <v>0.02127262147738371</v>
      </c>
      <c r="X14"/>
    </row>
    <row r="15" spans="1:24" s="13" customFormat="1" ht="12.75">
      <c r="A15" s="15" t="s">
        <v>34</v>
      </c>
      <c r="B15" s="14"/>
      <c r="C15" s="17"/>
      <c r="D15" s="29"/>
      <c r="E15" s="29"/>
      <c r="F15" s="29"/>
      <c r="G15" s="30"/>
      <c r="H15" s="68"/>
      <c r="I15" s="68"/>
      <c r="J15" s="61"/>
      <c r="K15" s="68"/>
      <c r="M15" s="37"/>
      <c r="N15" s="37"/>
      <c r="O15" s="14"/>
      <c r="P15" s="14"/>
      <c r="Q15" s="14"/>
      <c r="R15" s="2"/>
      <c r="T15">
        <v>12</v>
      </c>
      <c r="U15">
        <f t="shared" si="0"/>
        <v>0.12</v>
      </c>
      <c r="V15" s="49">
        <f t="shared" si="2"/>
        <v>0.02475932283198946</v>
      </c>
      <c r="X15"/>
    </row>
    <row r="16" spans="1:24" s="13" customFormat="1" ht="12.75">
      <c r="A16" s="36"/>
      <c r="B16" s="37" t="s">
        <v>16</v>
      </c>
      <c r="C16" s="209">
        <v>50</v>
      </c>
      <c r="D16" s="38"/>
      <c r="E16" s="38"/>
      <c r="F16" s="38"/>
      <c r="G16" s="39"/>
      <c r="H16" s="69">
        <f>SelBurr(C16,$C$9)</f>
        <v>0.7916800345615016</v>
      </c>
      <c r="I16" s="69"/>
      <c r="J16" s="61"/>
      <c r="K16" s="69"/>
      <c r="M16" s="37"/>
      <c r="N16" s="37"/>
      <c r="O16" s="37"/>
      <c r="P16" s="37"/>
      <c r="Q16" s="37"/>
      <c r="R16" s="42"/>
      <c r="T16">
        <v>13</v>
      </c>
      <c r="U16">
        <f t="shared" si="0"/>
        <v>0.13</v>
      </c>
      <c r="V16" s="49">
        <f t="shared" si="2"/>
        <v>0.028469327903171728</v>
      </c>
      <c r="X16"/>
    </row>
    <row r="17" spans="1:24" ht="12.75">
      <c r="A17" s="15"/>
      <c r="B17" s="14" t="s">
        <v>17</v>
      </c>
      <c r="C17" s="208">
        <v>20</v>
      </c>
      <c r="D17" s="29"/>
      <c r="E17" s="29"/>
      <c r="F17" s="29"/>
      <c r="G17" s="31"/>
      <c r="H17" s="68">
        <f>SelBurr(C17,$C$9)</f>
        <v>1.3856634194300153</v>
      </c>
      <c r="I17" s="68"/>
      <c r="J17" s="61"/>
      <c r="K17" s="68"/>
      <c r="L17" s="13"/>
      <c r="M17" s="37"/>
      <c r="N17" s="37"/>
      <c r="O17" s="14"/>
      <c r="P17" s="14"/>
      <c r="Q17" s="14"/>
      <c r="R17" s="2"/>
      <c r="T17">
        <v>14</v>
      </c>
      <c r="U17">
        <f t="shared" si="0"/>
        <v>0.14</v>
      </c>
      <c r="V17" s="49">
        <f t="shared" si="2"/>
        <v>0.032398108241319105</v>
      </c>
      <c r="X17"/>
    </row>
    <row r="18" spans="1:24" ht="12.75">
      <c r="A18" s="15"/>
      <c r="B18" s="14" t="s">
        <v>18</v>
      </c>
      <c r="C18" s="18"/>
      <c r="D18" s="27">
        <f>0.5/J18</f>
        <v>40.290645911640816</v>
      </c>
      <c r="E18" s="44">
        <f>N$4/(2*J18*(N$4-1))</f>
        <v>221.25574241449624</v>
      </c>
      <c r="F18" s="212">
        <f>1-(1/(2*D18))</f>
        <v>0.987590171646875</v>
      </c>
      <c r="G18" s="28">
        <f>(H17+(1-2*$C$6)*H16)*$H$6/2+$E$6</f>
        <v>0.7303357200834582</v>
      </c>
      <c r="H18" s="68"/>
      <c r="I18" s="68"/>
      <c r="J18" s="62">
        <f>N4*(C16+(1-2*C6)*(3-2*C6)*C17)/(8*C16*C17)</f>
        <v>0.012409828353125</v>
      </c>
      <c r="K18" s="68"/>
      <c r="L18" s="13"/>
      <c r="M18" s="13"/>
      <c r="N18" s="37"/>
      <c r="O18" s="14"/>
      <c r="P18" s="14"/>
      <c r="Q18" s="14"/>
      <c r="R18" s="41"/>
      <c r="T18">
        <v>15</v>
      </c>
      <c r="U18">
        <f t="shared" si="0"/>
        <v>0.15</v>
      </c>
      <c r="V18" s="49">
        <f t="shared" si="2"/>
        <v>0.03654155385625629</v>
      </c>
      <c r="X18"/>
    </row>
    <row r="19" spans="1:22" ht="12.75">
      <c r="A19" s="15" t="s">
        <v>19</v>
      </c>
      <c r="C19" s="17"/>
      <c r="D19" s="29"/>
      <c r="E19" s="29"/>
      <c r="F19" s="29"/>
      <c r="G19" s="32"/>
      <c r="H19" s="68"/>
      <c r="I19" s="68"/>
      <c r="J19" s="61"/>
      <c r="K19" s="68"/>
      <c r="L19" s="13"/>
      <c r="M19" s="40"/>
      <c r="N19" s="40"/>
      <c r="R19" s="16"/>
      <c r="T19">
        <v>16</v>
      </c>
      <c r="U19">
        <f t="shared" si="0"/>
        <v>0.16</v>
      </c>
      <c r="V19" s="49">
        <f t="shared" si="2"/>
        <v>0.040895908444438446</v>
      </c>
    </row>
    <row r="20" spans="1:22" ht="12.75">
      <c r="A20" s="15"/>
      <c r="B20" s="24" t="s">
        <v>20</v>
      </c>
      <c r="C20" s="210">
        <v>100</v>
      </c>
      <c r="D20" s="29"/>
      <c r="E20" s="29"/>
      <c r="F20" s="29"/>
      <c r="G20" s="32"/>
      <c r="H20" s="68"/>
      <c r="I20" s="68"/>
      <c r="J20" s="60"/>
      <c r="K20" s="68"/>
      <c r="L20" s="13"/>
      <c r="M20" s="40"/>
      <c r="N20" s="40"/>
      <c r="R20" s="16"/>
      <c r="T20">
        <v>17</v>
      </c>
      <c r="U20">
        <f t="shared" si="0"/>
        <v>0.17</v>
      </c>
      <c r="V20" s="49">
        <f t="shared" si="2"/>
        <v>0.04545771817069568</v>
      </c>
    </row>
    <row r="21" spans="1:22" ht="12.75">
      <c r="A21" s="59"/>
      <c r="B21" s="14" t="s">
        <v>188</v>
      </c>
      <c r="C21" s="208">
        <v>30</v>
      </c>
      <c r="D21" s="29"/>
      <c r="E21" s="29"/>
      <c r="F21" s="29"/>
      <c r="G21" s="31"/>
      <c r="H21" s="68">
        <f>SelBurr(C21,$C$20)</f>
        <v>1.149008676801621</v>
      </c>
      <c r="I21" s="68"/>
      <c r="J21" s="61"/>
      <c r="K21" s="68"/>
      <c r="L21" s="13"/>
      <c r="M21" s="40"/>
      <c r="N21" s="40"/>
      <c r="R21" s="16"/>
      <c r="T21">
        <v>18</v>
      </c>
      <c r="U21">
        <f t="shared" si="0"/>
        <v>0.18</v>
      </c>
      <c r="V21" s="49">
        <f t="shared" si="2"/>
        <v>0.05022379051783357</v>
      </c>
    </row>
    <row r="22" spans="1:22" ht="12.75">
      <c r="A22" s="59"/>
      <c r="B22" s="14" t="s">
        <v>189</v>
      </c>
      <c r="C22" s="208">
        <v>20</v>
      </c>
      <c r="D22" s="29"/>
      <c r="E22" s="29"/>
      <c r="F22" s="29"/>
      <c r="G22" s="31"/>
      <c r="H22" s="68">
        <f>SelBurr(C22,$C$20)</f>
        <v>1.3856634194300153</v>
      </c>
      <c r="I22" s="68"/>
      <c r="J22" s="61"/>
      <c r="K22" s="68"/>
      <c r="L22" s="13"/>
      <c r="M22" s="40"/>
      <c r="N22" s="40"/>
      <c r="R22" s="16"/>
      <c r="T22">
        <v>19</v>
      </c>
      <c r="U22">
        <f t="shared" si="0"/>
        <v>0.19</v>
      </c>
      <c r="V22" s="49">
        <f t="shared" si="2"/>
        <v>0.05519116076268661</v>
      </c>
    </row>
    <row r="23" spans="1:22" ht="12.75">
      <c r="A23" s="59"/>
      <c r="B23" s="14" t="s">
        <v>146</v>
      </c>
      <c r="C23" s="208">
        <v>10</v>
      </c>
      <c r="D23" s="29"/>
      <c r="E23" s="29"/>
      <c r="F23" s="29"/>
      <c r="G23" s="33"/>
      <c r="H23" s="19"/>
      <c r="I23" s="19"/>
      <c r="J23" s="61"/>
      <c r="K23" s="19"/>
      <c r="L23" s="13"/>
      <c r="M23" s="40"/>
      <c r="N23" s="40"/>
      <c r="R23" s="16"/>
      <c r="T23">
        <v>20</v>
      </c>
      <c r="U23">
        <f t="shared" si="0"/>
        <v>0.2</v>
      </c>
      <c r="V23" s="49">
        <f t="shared" si="2"/>
        <v>0.060357064329408266</v>
      </c>
    </row>
    <row r="24" spans="1:22" ht="13.5" thickBot="1">
      <c r="A24" s="108"/>
      <c r="B24" s="109" t="s">
        <v>18</v>
      </c>
      <c r="C24" s="110">
        <f>C21+(C22-C23)</f>
        <v>40</v>
      </c>
      <c r="D24" s="111">
        <f>0.5/J24</f>
        <v>39.89756643933212</v>
      </c>
      <c r="E24" s="111">
        <f>N$4/(2*J24*(N$4-1))</f>
        <v>219.0971498055743</v>
      </c>
      <c r="F24" s="211">
        <f>1-(1/(2*D24))</f>
        <v>0.987467907328125</v>
      </c>
      <c r="G24" s="112">
        <f>(H22+(1-2*$C$6)*H21)*$H$6/2+$E$6</f>
        <v>0.837534312755494</v>
      </c>
      <c r="H24" s="113"/>
      <c r="I24" s="113"/>
      <c r="J24" s="114">
        <f>N4*(C21+(1-2*C6)^2*C22+2*(1-2*C6)*C23)/(8*C21*C22)</f>
        <v>0.012532092671875</v>
      </c>
      <c r="K24" s="113"/>
      <c r="L24" s="13"/>
      <c r="M24" s="40"/>
      <c r="N24" s="40"/>
      <c r="R24" s="16"/>
      <c r="T24">
        <v>21</v>
      </c>
      <c r="U24">
        <f t="shared" si="0"/>
        <v>0.21</v>
      </c>
      <c r="V24" s="49">
        <f t="shared" si="2"/>
        <v>0.0657189137412028</v>
      </c>
    </row>
    <row r="25" spans="1:22" ht="12.75">
      <c r="A25" s="59"/>
      <c r="C25" s="16"/>
      <c r="H25" s="19"/>
      <c r="I25" s="19"/>
      <c r="J25" s="19"/>
      <c r="K25" s="19"/>
      <c r="R25" s="41"/>
      <c r="T25">
        <v>22</v>
      </c>
      <c r="U25">
        <f t="shared" si="0"/>
        <v>0.22</v>
      </c>
      <c r="V25" s="49">
        <f t="shared" si="2"/>
        <v>0.0712742792187949</v>
      </c>
    </row>
    <row r="26" spans="1:24" s="13" customFormat="1" ht="12" customHeight="1">
      <c r="A26" s="57"/>
      <c r="B26" s="40"/>
      <c r="C26" s="40"/>
      <c r="D26"/>
      <c r="E26"/>
      <c r="F26"/>
      <c r="G26"/>
      <c r="H26" s="40"/>
      <c r="I26" s="40"/>
      <c r="J26" s="40"/>
      <c r="K26" s="40"/>
      <c r="L26" s="40"/>
      <c r="M26" s="40"/>
      <c r="N26" s="40"/>
      <c r="O26" s="40"/>
      <c r="P26" s="40"/>
      <c r="Q26" s="40"/>
      <c r="R26" s="40"/>
      <c r="S26" s="40"/>
      <c r="T26">
        <v>23</v>
      </c>
      <c r="U26">
        <f t="shared" si="0"/>
        <v>0.23</v>
      </c>
      <c r="V26" s="49">
        <f t="shared" si="2"/>
        <v>0.07702087220601636</v>
      </c>
      <c r="X26"/>
    </row>
    <row r="27" spans="1:24" ht="12.75">
      <c r="A27" s="57"/>
      <c r="B27" s="40"/>
      <c r="C27" s="40"/>
      <c r="D27"/>
      <c r="E27"/>
      <c r="F27"/>
      <c r="G27"/>
      <c r="H27" s="40"/>
      <c r="I27" s="40"/>
      <c r="J27" s="40"/>
      <c r="K27" s="40"/>
      <c r="L27" s="40"/>
      <c r="M27" s="40"/>
      <c r="N27" s="40"/>
      <c r="O27" s="40"/>
      <c r="P27" s="40"/>
      <c r="Q27" s="40"/>
      <c r="R27"/>
      <c r="S27"/>
      <c r="T27">
        <v>24</v>
      </c>
      <c r="U27">
        <f t="shared" si="0"/>
        <v>0.24</v>
      </c>
      <c r="V27" s="49">
        <f t="shared" si="2"/>
        <v>0.08295653127056622</v>
      </c>
      <c r="X27"/>
    </row>
    <row r="28" spans="1:24" ht="12.75">
      <c r="A28" s="59"/>
      <c r="B28"/>
      <c r="C28" s="43"/>
      <c r="D28"/>
      <c r="E28"/>
      <c r="F28"/>
      <c r="G28"/>
      <c r="H28"/>
      <c r="I28"/>
      <c r="J28"/>
      <c r="K28"/>
      <c r="L28"/>
      <c r="M28"/>
      <c r="N28"/>
      <c r="O28"/>
      <c r="P28"/>
      <c r="Q28"/>
      <c r="R28"/>
      <c r="S28"/>
      <c r="T28">
        <v>25</v>
      </c>
      <c r="U28">
        <f t="shared" si="0"/>
        <v>0.25</v>
      </c>
      <c r="V28" s="49">
        <f t="shared" si="2"/>
        <v>0.08907920995113008</v>
      </c>
      <c r="X28"/>
    </row>
    <row r="29" spans="1:24" ht="12.75">
      <c r="A29" s="58"/>
      <c r="B29"/>
      <c r="C29"/>
      <c r="D29"/>
      <c r="E29"/>
      <c r="F29"/>
      <c r="G29"/>
      <c r="H29"/>
      <c r="I29"/>
      <c r="J29"/>
      <c r="K29"/>
      <c r="L29"/>
      <c r="M29"/>
      <c r="N29"/>
      <c r="O29"/>
      <c r="P29"/>
      <c r="Q29"/>
      <c r="R29"/>
      <c r="S29"/>
      <c r="T29">
        <v>26</v>
      </c>
      <c r="U29">
        <f t="shared" si="0"/>
        <v>0.26</v>
      </c>
      <c r="V29" s="49">
        <f t="shared" si="2"/>
        <v>0.09538696621379694</v>
      </c>
      <c r="X29"/>
    </row>
    <row r="30" spans="1:24" ht="12.75">
      <c r="A30" s="58"/>
      <c r="B30"/>
      <c r="C30"/>
      <c r="D30"/>
      <c r="E30"/>
      <c r="F30"/>
      <c r="G30"/>
      <c r="H30"/>
      <c r="I30"/>
      <c r="J30"/>
      <c r="K30"/>
      <c r="L30" s="40"/>
      <c r="M30" s="14"/>
      <c r="N30" s="40"/>
      <c r="O30" s="40"/>
      <c r="P30" s="40"/>
      <c r="Q30" s="40"/>
      <c r="R30"/>
      <c r="S30"/>
      <c r="T30">
        <v>27</v>
      </c>
      <c r="U30">
        <f t="shared" si="0"/>
        <v>0.27</v>
      </c>
      <c r="V30" s="49">
        <f t="shared" si="2"/>
        <v>0.10187795325000606</v>
      </c>
      <c r="X30"/>
    </row>
    <row r="31" spans="1:24" ht="12.75">
      <c r="A31" s="58"/>
      <c r="B31"/>
      <c r="C31"/>
      <c r="D31"/>
      <c r="E31"/>
      <c r="F31"/>
      <c r="G31"/>
      <c r="H31"/>
      <c r="I31"/>
      <c r="J31"/>
      <c r="K31"/>
      <c r="L31"/>
      <c r="M31" s="40"/>
      <c r="N31"/>
      <c r="O31"/>
      <c r="P31"/>
      <c r="Q31"/>
      <c r="R31"/>
      <c r="S31"/>
      <c r="T31">
        <v>28</v>
      </c>
      <c r="U31">
        <f t="shared" si="0"/>
        <v>0.28</v>
      </c>
      <c r="V31" s="49">
        <f t="shared" si="2"/>
        <v>0.10855041140122416</v>
      </c>
      <c r="X31"/>
    </row>
    <row r="32" spans="1:24" ht="12.75">
      <c r="A32" s="58"/>
      <c r="B32"/>
      <c r="C32"/>
      <c r="D32"/>
      <c r="E32"/>
      <c r="F32"/>
      <c r="G32"/>
      <c r="H32"/>
      <c r="I32"/>
      <c r="J32"/>
      <c r="K32"/>
      <c r="L32"/>
      <c r="M32" s="40"/>
      <c r="N32"/>
      <c r="O32"/>
      <c r="P32"/>
      <c r="Q32"/>
      <c r="R32"/>
      <c r="S32"/>
      <c r="T32">
        <v>29</v>
      </c>
      <c r="U32">
        <f t="shared" si="0"/>
        <v>0.29</v>
      </c>
      <c r="V32" s="49">
        <f t="shared" si="2"/>
        <v>0.11540266103650053</v>
      </c>
      <c r="X32"/>
    </row>
    <row r="33" spans="1:24" ht="12.75">
      <c r="A33"/>
      <c r="B33"/>
      <c r="C33"/>
      <c r="D33"/>
      <c r="E33"/>
      <c r="F33"/>
      <c r="G33"/>
      <c r="H33"/>
      <c r="I33"/>
      <c r="J33"/>
      <c r="K33"/>
      <c r="L33"/>
      <c r="M33" s="40"/>
      <c r="N33"/>
      <c r="O33"/>
      <c r="P33"/>
      <c r="Q33" s="40"/>
      <c r="R33"/>
      <c r="S33"/>
      <c r="T33">
        <v>30</v>
      </c>
      <c r="U33">
        <f t="shared" si="0"/>
        <v>0.3</v>
      </c>
      <c r="V33" s="49">
        <f t="shared" si="2"/>
        <v>0.12243309624102627</v>
      </c>
      <c r="X33"/>
    </row>
    <row r="34" spans="1:24" ht="12.75" customHeight="1">
      <c r="A34"/>
      <c r="B34"/>
      <c r="C34"/>
      <c r="D34"/>
      <c r="E34"/>
      <c r="F34"/>
      <c r="G34"/>
      <c r="H34"/>
      <c r="I34"/>
      <c r="J34"/>
      <c r="K34"/>
      <c r="L34"/>
      <c r="M34"/>
      <c r="N34"/>
      <c r="O34"/>
      <c r="P34"/>
      <c r="Q34"/>
      <c r="R34"/>
      <c r="S34"/>
      <c r="T34">
        <v>31</v>
      </c>
      <c r="U34">
        <f t="shared" si="0"/>
        <v>0.31</v>
      </c>
      <c r="V34" s="49">
        <f t="shared" si="2"/>
        <v>0.12964017919903556</v>
      </c>
      <c r="X34"/>
    </row>
    <row r="35" spans="1:24" ht="12.75">
      <c r="A35"/>
      <c r="B35"/>
      <c r="C35"/>
      <c r="D35"/>
      <c r="E35"/>
      <c r="F35"/>
      <c r="G35"/>
      <c r="H35"/>
      <c r="I35"/>
      <c r="J35"/>
      <c r="K35"/>
      <c r="L35"/>
      <c r="M35"/>
      <c r="N35"/>
      <c r="O35"/>
      <c r="P35"/>
      <c r="Q35"/>
      <c r="R35"/>
      <c r="S35"/>
      <c r="T35">
        <v>32</v>
      </c>
      <c r="U35">
        <f t="shared" si="0"/>
        <v>0.32</v>
      </c>
      <c r="V35" s="49">
        <f t="shared" si="2"/>
        <v>0.1370224351744386</v>
      </c>
      <c r="X35"/>
    </row>
    <row r="36" spans="1:24" ht="12.75">
      <c r="A36"/>
      <c r="B36"/>
      <c r="C36"/>
      <c r="D36"/>
      <c r="E36"/>
      <c r="F36"/>
      <c r="G36"/>
      <c r="H36"/>
      <c r="I36"/>
      <c r="J36"/>
      <c r="K36"/>
      <c r="L36"/>
      <c r="M36"/>
      <c r="N36"/>
      <c r="O36"/>
      <c r="P36"/>
      <c r="Q36"/>
      <c r="R36"/>
      <c r="S36"/>
      <c r="T36">
        <v>33</v>
      </c>
      <c r="U36">
        <f aca="true" t="shared" si="3" ref="U36:U67">T36/100</f>
        <v>0.33</v>
      </c>
      <c r="V36" s="49">
        <f t="shared" si="2"/>
        <v>0.14457844800865674</v>
      </c>
      <c r="X36"/>
    </row>
    <row r="37" spans="1:24" ht="12.75">
      <c r="A37"/>
      <c r="B37"/>
      <c r="C37"/>
      <c r="D37"/>
      <c r="E37"/>
      <c r="F37"/>
      <c r="G37"/>
      <c r="H37"/>
      <c r="I37"/>
      <c r="J37"/>
      <c r="K37"/>
      <c r="L37"/>
      <c r="M37"/>
      <c r="N37"/>
      <c r="O37"/>
      <c r="P37"/>
      <c r="Q37"/>
      <c r="R37"/>
      <c r="S37"/>
      <c r="T37">
        <v>34</v>
      </c>
      <c r="U37">
        <f t="shared" si="3"/>
        <v>0.34</v>
      </c>
      <c r="V37" s="49">
        <f t="shared" si="2"/>
        <v>0.1523068560681188</v>
      </c>
      <c r="X37"/>
    </row>
    <row r="38" spans="1:24" ht="12.75">
      <c r="A38"/>
      <c r="B38"/>
      <c r="C38"/>
      <c r="D38"/>
      <c r="E38"/>
      <c r="F38"/>
      <c r="G38"/>
      <c r="H38"/>
      <c r="I38"/>
      <c r="J38"/>
      <c r="K38"/>
      <c r="L38"/>
      <c r="M38"/>
      <c r="N38"/>
      <c r="O38"/>
      <c r="P38"/>
      <c r="Q38"/>
      <c r="R38"/>
      <c r="S38"/>
      <c r="T38">
        <v>35</v>
      </c>
      <c r="U38">
        <f t="shared" si="3"/>
        <v>0.35</v>
      </c>
      <c r="V38" s="49">
        <f t="shared" si="2"/>
        <v>0.16020634858444896</v>
      </c>
      <c r="X38"/>
    </row>
    <row r="39" spans="1:24" ht="12.75">
      <c r="A39"/>
      <c r="B39"/>
      <c r="C39"/>
      <c r="D39"/>
      <c r="E39"/>
      <c r="F39"/>
      <c r="G39"/>
      <c r="H39"/>
      <c r="I39"/>
      <c r="J39"/>
      <c r="K39"/>
      <c r="L39"/>
      <c r="M39"/>
      <c r="N39"/>
      <c r="O39"/>
      <c r="P39"/>
      <c r="Q39"/>
      <c r="R39"/>
      <c r="S39"/>
      <c r="T39">
        <v>36</v>
      </c>
      <c r="U39">
        <f t="shared" si="3"/>
        <v>0.36</v>
      </c>
      <c r="V39" s="49">
        <f t="shared" si="2"/>
        <v>0.16827566233903543</v>
      </c>
      <c r="X39"/>
    </row>
    <row r="40" spans="1:24" ht="12.75">
      <c r="A40"/>
      <c r="B40"/>
      <c r="C40"/>
      <c r="D40"/>
      <c r="E40"/>
      <c r="F40"/>
      <c r="G40"/>
      <c r="H40"/>
      <c r="I40"/>
      <c r="J40"/>
      <c r="K40"/>
      <c r="L40"/>
      <c r="M40"/>
      <c r="N40"/>
      <c r="O40"/>
      <c r="P40"/>
      <c r="Q40"/>
      <c r="R40"/>
      <c r="S40"/>
      <c r="T40">
        <v>37</v>
      </c>
      <c r="U40">
        <f t="shared" si="3"/>
        <v>0.37</v>
      </c>
      <c r="V40" s="49">
        <f t="shared" si="2"/>
        <v>0.17651357865080106</v>
      </c>
      <c r="X40"/>
    </row>
    <row r="41" spans="1:24" ht="12.75">
      <c r="A41"/>
      <c r="B41"/>
      <c r="C41"/>
      <c r="D41"/>
      <c r="E41"/>
      <c r="F41"/>
      <c r="G41"/>
      <c r="H41"/>
      <c r="I41"/>
      <c r="J41"/>
      <c r="K41"/>
      <c r="L41"/>
      <c r="M41"/>
      <c r="N41"/>
      <c r="O41"/>
      <c r="P41"/>
      <c r="Q41"/>
      <c r="R41"/>
      <c r="S41"/>
      <c r="T41">
        <v>38</v>
      </c>
      <c r="U41">
        <f t="shared" si="3"/>
        <v>0.38</v>
      </c>
      <c r="V41" s="49">
        <f t="shared" si="2"/>
        <v>0.18491892063191667</v>
      </c>
      <c r="X41"/>
    </row>
    <row r="42" spans="1:24" ht="12.75">
      <c r="A42"/>
      <c r="B42"/>
      <c r="C42"/>
      <c r="D42"/>
      <c r="E42"/>
      <c r="F42"/>
      <c r="G42"/>
      <c r="H42"/>
      <c r="I42"/>
      <c r="J42"/>
      <c r="K42"/>
      <c r="L42"/>
      <c r="M42"/>
      <c r="N42"/>
      <c r="O42"/>
      <c r="P42"/>
      <c r="Q42"/>
      <c r="R42"/>
      <c r="S42"/>
      <c r="T42">
        <v>39</v>
      </c>
      <c r="U42">
        <f t="shared" si="3"/>
        <v>0.39</v>
      </c>
      <c r="V42" s="49">
        <f aca="true" t="shared" si="4" ref="V42:V73">U42^$Q$4</f>
        <v>0.19349055068112558</v>
      </c>
      <c r="X42"/>
    </row>
    <row r="43" spans="1:24" ht="12.75">
      <c r="A43"/>
      <c r="B43"/>
      <c r="C43"/>
      <c r="D43"/>
      <c r="E43"/>
      <c r="F43"/>
      <c r="G43"/>
      <c r="H43"/>
      <c r="I43"/>
      <c r="J43"/>
      <c r="K43"/>
      <c r="L43"/>
      <c r="M43"/>
      <c r="N43"/>
      <c r="O43"/>
      <c r="P43"/>
      <c r="Q43"/>
      <c r="R43"/>
      <c r="S43"/>
      <c r="T43">
        <v>40</v>
      </c>
      <c r="U43">
        <f t="shared" si="3"/>
        <v>0.4</v>
      </c>
      <c r="V43" s="49">
        <f t="shared" si="4"/>
        <v>0.20222736818847856</v>
      </c>
      <c r="X43"/>
    </row>
    <row r="44" spans="1:24" ht="12.75">
      <c r="A44"/>
      <c r="B44"/>
      <c r="C44"/>
      <c r="D44"/>
      <c r="E44"/>
      <c r="F44"/>
      <c r="G44"/>
      <c r="H44"/>
      <c r="I44"/>
      <c r="J44"/>
      <c r="K44"/>
      <c r="L44"/>
      <c r="M44"/>
      <c r="N44"/>
      <c r="O44"/>
      <c r="P44"/>
      <c r="Q44"/>
      <c r="R44"/>
      <c r="S44"/>
      <c r="T44">
        <v>41</v>
      </c>
      <c r="U44">
        <f t="shared" si="3"/>
        <v>0.41</v>
      </c>
      <c r="V44" s="49">
        <f t="shared" si="4"/>
        <v>0.21112830742875793</v>
      </c>
      <c r="X44"/>
    </row>
    <row r="45" spans="1:24" s="4" customFormat="1" ht="12.75">
      <c r="A45"/>
      <c r="B45"/>
      <c r="C45"/>
      <c r="D45"/>
      <c r="E45"/>
      <c r="F45"/>
      <c r="G45"/>
      <c r="H45"/>
      <c r="I45"/>
      <c r="J45"/>
      <c r="K45"/>
      <c r="L45"/>
      <c r="M45"/>
      <c r="N45"/>
      <c r="O45"/>
      <c r="P45"/>
      <c r="Q45"/>
      <c r="R45"/>
      <c r="S45"/>
      <c r="T45">
        <v>42</v>
      </c>
      <c r="U45">
        <f t="shared" si="3"/>
        <v>0.42</v>
      </c>
      <c r="V45" s="49">
        <f t="shared" si="4"/>
        <v>0.2201923356238121</v>
      </c>
      <c r="X45"/>
    </row>
    <row r="46" spans="1:24" ht="12.75">
      <c r="A46"/>
      <c r="B46"/>
      <c r="C46"/>
      <c r="D46"/>
      <c r="E46"/>
      <c r="F46"/>
      <c r="G46"/>
      <c r="H46"/>
      <c r="I46"/>
      <c r="J46"/>
      <c r="K46"/>
      <c r="L46"/>
      <c r="M46"/>
      <c r="N46"/>
      <c r="O46"/>
      <c r="P46"/>
      <c r="Q46"/>
      <c r="R46"/>
      <c r="S46"/>
      <c r="T46">
        <v>43</v>
      </c>
      <c r="U46">
        <f t="shared" si="3"/>
        <v>0.43</v>
      </c>
      <c r="V46" s="49">
        <f t="shared" si="4"/>
        <v>0.22941845115651813</v>
      </c>
      <c r="X46"/>
    </row>
    <row r="47" spans="1:24" ht="12.75">
      <c r="A47"/>
      <c r="B47"/>
      <c r="C47"/>
      <c r="D47"/>
      <c r="E47"/>
      <c r="F47"/>
      <c r="G47"/>
      <c r="H47"/>
      <c r="I47"/>
      <c r="J47"/>
      <c r="K47"/>
      <c r="L47"/>
      <c r="M47"/>
      <c r="N47"/>
      <c r="O47"/>
      <c r="P47"/>
      <c r="Q47"/>
      <c r="R47"/>
      <c r="S47"/>
      <c r="T47">
        <v>44</v>
      </c>
      <c r="U47">
        <f t="shared" si="3"/>
        <v>0.44</v>
      </c>
      <c r="V47" s="49">
        <f t="shared" si="4"/>
        <v>0.2388056819212263</v>
      </c>
      <c r="X47"/>
    </row>
    <row r="48" spans="1:24" ht="12.75">
      <c r="A48"/>
      <c r="B48"/>
      <c r="C48"/>
      <c r="D48"/>
      <c r="E48"/>
      <c r="F48"/>
      <c r="G48"/>
      <c r="H48"/>
      <c r="I48"/>
      <c r="J48"/>
      <c r="K48"/>
      <c r="L48"/>
      <c r="M48"/>
      <c r="N48"/>
      <c r="O48"/>
      <c r="P48"/>
      <c r="Q48"/>
      <c r="R48"/>
      <c r="S48"/>
      <c r="T48">
        <v>45</v>
      </c>
      <c r="U48">
        <f t="shared" si="3"/>
        <v>0.45</v>
      </c>
      <c r="V48" s="49">
        <f t="shared" si="4"/>
        <v>0.2483530837973639</v>
      </c>
      <c r="X48"/>
    </row>
    <row r="49" spans="1:24" ht="12.75">
      <c r="A49"/>
      <c r="B49"/>
      <c r="C49"/>
      <c r="D49"/>
      <c r="E49"/>
      <c r="F49"/>
      <c r="G49"/>
      <c r="H49"/>
      <c r="I49"/>
      <c r="J49"/>
      <c r="K49"/>
      <c r="L49"/>
      <c r="M49"/>
      <c r="N49"/>
      <c r="O49"/>
      <c r="P49"/>
      <c r="Q49"/>
      <c r="R49"/>
      <c r="S49"/>
      <c r="T49">
        <v>46</v>
      </c>
      <c r="U49">
        <f t="shared" si="3"/>
        <v>0.46</v>
      </c>
      <c r="V49" s="49">
        <f t="shared" si="4"/>
        <v>0.2580597392344468</v>
      </c>
      <c r="X49"/>
    </row>
    <row r="50" spans="1:24" ht="12.75">
      <c r="A50"/>
      <c r="B50"/>
      <c r="C50"/>
      <c r="D50"/>
      <c r="E50"/>
      <c r="F50"/>
      <c r="G50"/>
      <c r="H50"/>
      <c r="I50"/>
      <c r="J50"/>
      <c r="K50"/>
      <c r="L50"/>
      <c r="M50"/>
      <c r="N50"/>
      <c r="O50"/>
      <c r="P50"/>
      <c r="Q50"/>
      <c r="R50"/>
      <c r="S50"/>
      <c r="T50">
        <v>47</v>
      </c>
      <c r="U50">
        <f t="shared" si="3"/>
        <v>0.47</v>
      </c>
      <c r="V50" s="49">
        <f t="shared" si="4"/>
        <v>0.26792475593810133</v>
      </c>
      <c r="X50"/>
    </row>
    <row r="51" spans="1:24" ht="12.75">
      <c r="A51"/>
      <c r="B51"/>
      <c r="C51"/>
      <c r="D51"/>
      <c r="E51"/>
      <c r="F51"/>
      <c r="G51"/>
      <c r="H51"/>
      <c r="I51"/>
      <c r="J51"/>
      <c r="K51"/>
      <c r="L51"/>
      <c r="M51"/>
      <c r="N51"/>
      <c r="O51"/>
      <c r="P51"/>
      <c r="Q51"/>
      <c r="R51"/>
      <c r="S51"/>
      <c r="T51">
        <v>48</v>
      </c>
      <c r="U51">
        <f t="shared" si="3"/>
        <v>0.48</v>
      </c>
      <c r="V51" s="49">
        <f t="shared" si="4"/>
        <v>0.2779472656478736</v>
      </c>
      <c r="X51"/>
    </row>
    <row r="52" spans="1:24" ht="12.75">
      <c r="A52"/>
      <c r="B52"/>
      <c r="C52"/>
      <c r="D52"/>
      <c r="E52"/>
      <c r="F52"/>
      <c r="G52"/>
      <c r="H52"/>
      <c r="I52"/>
      <c r="J52"/>
      <c r="K52"/>
      <c r="L52"/>
      <c r="M52"/>
      <c r="N52"/>
      <c r="O52"/>
      <c r="P52"/>
      <c r="Q52"/>
      <c r="R52"/>
      <c r="S52"/>
      <c r="T52">
        <v>49</v>
      </c>
      <c r="U52">
        <f t="shared" si="3"/>
        <v>0.49</v>
      </c>
      <c r="V52" s="49">
        <f t="shared" si="4"/>
        <v>0.28812642299861774</v>
      </c>
      <c r="X52"/>
    </row>
    <row r="53" spans="20:24" ht="12.75">
      <c r="T53">
        <v>50</v>
      </c>
      <c r="U53">
        <f t="shared" si="3"/>
        <v>0.5</v>
      </c>
      <c r="V53" s="49">
        <f t="shared" si="4"/>
        <v>0.2984614044581478</v>
      </c>
      <c r="X53"/>
    </row>
    <row r="54" spans="20:24" ht="12.75">
      <c r="T54">
        <v>51</v>
      </c>
      <c r="U54">
        <f t="shared" si="3"/>
        <v>0.51</v>
      </c>
      <c r="V54" s="49">
        <f t="shared" si="4"/>
        <v>0.30895140733460763</v>
      </c>
      <c r="X54"/>
    </row>
    <row r="55" spans="20:24" ht="12.75">
      <c r="T55">
        <v>52</v>
      </c>
      <c r="U55">
        <f t="shared" si="3"/>
        <v>0.52</v>
      </c>
      <c r="V55" s="49">
        <f t="shared" si="4"/>
        <v>0.3195956488476979</v>
      </c>
      <c r="X55"/>
    </row>
    <row r="56" spans="20:24" ht="12.75">
      <c r="T56">
        <v>53</v>
      </c>
      <c r="U56">
        <f t="shared" si="3"/>
        <v>0.53</v>
      </c>
      <c r="V56" s="49">
        <f t="shared" si="4"/>
        <v>0.3303933652584923</v>
      </c>
      <c r="X56"/>
    </row>
    <row r="57" spans="20:24" ht="12.75">
      <c r="T57">
        <v>54</v>
      </c>
      <c r="U57">
        <f t="shared" si="3"/>
        <v>0.54</v>
      </c>
      <c r="V57" s="49">
        <f t="shared" si="4"/>
        <v>0.34134381105310413</v>
      </c>
      <c r="X57"/>
    </row>
    <row r="58" spans="20:24" ht="12.75">
      <c r="T58">
        <v>55</v>
      </c>
      <c r="U58">
        <f t="shared" si="3"/>
        <v>0.55</v>
      </c>
      <c r="V58" s="49">
        <f t="shared" si="4"/>
        <v>0.35244625817592784</v>
      </c>
      <c r="X58"/>
    </row>
    <row r="59" spans="20:24" ht="12.75">
      <c r="T59">
        <v>56</v>
      </c>
      <c r="U59">
        <f t="shared" si="3"/>
        <v>0.56</v>
      </c>
      <c r="V59" s="49">
        <f t="shared" si="4"/>
        <v>0.3636999953085922</v>
      </c>
      <c r="X59"/>
    </row>
    <row r="60" spans="20:24" ht="12.75">
      <c r="T60">
        <v>57</v>
      </c>
      <c r="U60">
        <f t="shared" si="3"/>
        <v>0.57</v>
      </c>
      <c r="V60" s="49">
        <f t="shared" si="4"/>
        <v>0.3751043271911254</v>
      </c>
      <c r="X60"/>
    </row>
    <row r="61" spans="20:24" ht="12.75">
      <c r="T61">
        <v>58</v>
      </c>
      <c r="U61">
        <f t="shared" si="3"/>
        <v>0.58</v>
      </c>
      <c r="V61" s="49">
        <f t="shared" si="4"/>
        <v>0.3866585739821613</v>
      </c>
      <c r="X61"/>
    </row>
    <row r="62" spans="20:24" ht="12.75">
      <c r="T62">
        <v>59</v>
      </c>
      <c r="U62">
        <f t="shared" si="3"/>
        <v>0.59</v>
      </c>
      <c r="V62" s="49">
        <f t="shared" si="4"/>
        <v>0.39836207065529944</v>
      </c>
      <c r="X62"/>
    </row>
    <row r="63" spans="20:24" ht="12.75">
      <c r="T63">
        <v>60</v>
      </c>
      <c r="U63">
        <f t="shared" si="3"/>
        <v>0.6</v>
      </c>
      <c r="V63" s="49">
        <f t="shared" si="4"/>
        <v>0.4102141664289953</v>
      </c>
      <c r="X63"/>
    </row>
    <row r="64" spans="20:24" ht="12.75">
      <c r="T64">
        <v>61</v>
      </c>
      <c r="U64">
        <f t="shared" si="3"/>
        <v>0.61</v>
      </c>
      <c r="V64" s="49">
        <f t="shared" si="4"/>
        <v>0.4222142242275879</v>
      </c>
      <c r="X64"/>
    </row>
    <row r="65" spans="20:24" ht="12.75">
      <c r="T65">
        <v>62</v>
      </c>
      <c r="U65">
        <f t="shared" si="3"/>
        <v>0.62</v>
      </c>
      <c r="V65" s="49">
        <f t="shared" si="4"/>
        <v>0.43436162017127605</v>
      </c>
      <c r="X65"/>
    </row>
    <row r="66" spans="20:24" ht="12.75">
      <c r="T66">
        <v>63</v>
      </c>
      <c r="U66">
        <f t="shared" si="3"/>
        <v>0.63</v>
      </c>
      <c r="V66" s="49">
        <f t="shared" si="4"/>
        <v>0.4466557430930449</v>
      </c>
      <c r="X66"/>
    </row>
    <row r="67" spans="20:24" ht="12.75">
      <c r="T67">
        <v>64</v>
      </c>
      <c r="U67">
        <f t="shared" si="3"/>
        <v>0.64</v>
      </c>
      <c r="V67" s="49">
        <f t="shared" si="4"/>
        <v>0.4590959940807113</v>
      </c>
      <c r="X67"/>
    </row>
    <row r="68" spans="20:24" ht="12.75">
      <c r="T68">
        <v>65</v>
      </c>
      <c r="U68">
        <f>T68/100</f>
        <v>0.65</v>
      </c>
      <c r="V68" s="49">
        <f t="shared" si="4"/>
        <v>0.47168178604240674</v>
      </c>
      <c r="X68"/>
    </row>
    <row r="69" spans="20:24" ht="12.75">
      <c r="T69">
        <v>66</v>
      </c>
      <c r="U69">
        <f aca="true" t="shared" si="5" ref="U69:U102">T69/100</f>
        <v>0.66</v>
      </c>
      <c r="V69" s="49">
        <f t="shared" si="4"/>
        <v>0.48441254329395367</v>
      </c>
      <c r="X69"/>
    </row>
    <row r="70" spans="20:24" ht="12.75">
      <c r="T70">
        <v>67</v>
      </c>
      <c r="U70">
        <f t="shared" si="5"/>
        <v>0.67</v>
      </c>
      <c r="V70" s="49">
        <f t="shared" si="4"/>
        <v>0.4972877011667166</v>
      </c>
      <c r="X70"/>
    </row>
    <row r="71" spans="20:24" ht="12.75">
      <c r="T71">
        <v>68</v>
      </c>
      <c r="U71">
        <f t="shared" si="5"/>
        <v>0.68</v>
      </c>
      <c r="V71" s="49">
        <f t="shared" si="4"/>
        <v>0.5103067056346182</v>
      </c>
      <c r="X71"/>
    </row>
    <row r="72" spans="20:24" ht="12.75">
      <c r="T72">
        <v>69</v>
      </c>
      <c r="U72">
        <f t="shared" si="5"/>
        <v>0.69</v>
      </c>
      <c r="V72" s="49">
        <f t="shared" si="4"/>
        <v>0.5234690129591154</v>
      </c>
      <c r="X72"/>
    </row>
    <row r="73" spans="20:24" ht="12.75">
      <c r="T73">
        <v>70</v>
      </c>
      <c r="U73">
        <f t="shared" si="5"/>
        <v>0.7</v>
      </c>
      <c r="V73" s="49">
        <f t="shared" si="4"/>
        <v>0.5367740893510208</v>
      </c>
      <c r="X73"/>
    </row>
    <row r="74" spans="20:24" ht="12.75">
      <c r="T74">
        <v>71</v>
      </c>
      <c r="U74">
        <f t="shared" si="5"/>
        <v>0.71</v>
      </c>
      <c r="V74" s="49">
        <f aca="true" t="shared" si="6" ref="V74:V103">U74^$Q$4</f>
        <v>0.5502214106481392</v>
      </c>
      <c r="X74"/>
    </row>
    <row r="75" spans="20:24" ht="12.75">
      <c r="T75">
        <v>72</v>
      </c>
      <c r="U75">
        <f t="shared" si="5"/>
        <v>0.72</v>
      </c>
      <c r="V75" s="49">
        <f t="shared" si="6"/>
        <v>0.5638104620077675</v>
      </c>
      <c r="X75"/>
    </row>
    <row r="76" spans="20:24" ht="12.75">
      <c r="T76">
        <v>73</v>
      </c>
      <c r="U76">
        <f t="shared" si="5"/>
        <v>0.73</v>
      </c>
      <c r="V76" s="49">
        <f t="shared" si="6"/>
        <v>0.5775407376131727</v>
      </c>
      <c r="X76"/>
    </row>
    <row r="77" spans="20:24" ht="12.75">
      <c r="T77">
        <v>74</v>
      </c>
      <c r="U77">
        <f t="shared" si="5"/>
        <v>0.74</v>
      </c>
      <c r="V77" s="49">
        <f t="shared" si="6"/>
        <v>0.5914117403932304</v>
      </c>
      <c r="X77"/>
    </row>
    <row r="78" spans="20:24" ht="12.75">
      <c r="T78">
        <v>75</v>
      </c>
      <c r="U78">
        <f t="shared" si="5"/>
        <v>0.75</v>
      </c>
      <c r="V78" s="49">
        <f t="shared" si="6"/>
        <v>0.6054229817544631</v>
      </c>
      <c r="X78"/>
    </row>
    <row r="79" spans="20:24" ht="12.75">
      <c r="T79">
        <v>76</v>
      </c>
      <c r="U79">
        <f t="shared" si="5"/>
        <v>0.76</v>
      </c>
      <c r="V79" s="49">
        <f t="shared" si="6"/>
        <v>0.6195739813247686</v>
      </c>
      <c r="X79"/>
    </row>
    <row r="80" spans="20:24" ht="12.75">
      <c r="T80">
        <v>77</v>
      </c>
      <c r="U80">
        <f t="shared" si="5"/>
        <v>0.77</v>
      </c>
      <c r="V80" s="49">
        <f t="shared" si="6"/>
        <v>0.6338642667081837</v>
      </c>
      <c r="X80"/>
    </row>
    <row r="81" spans="20:24" ht="12.75">
      <c r="T81">
        <v>78</v>
      </c>
      <c r="U81">
        <f t="shared" si="5"/>
        <v>0.78</v>
      </c>
      <c r="V81" s="49">
        <f t="shared" si="6"/>
        <v>0.6482933732500683</v>
      </c>
      <c r="X81"/>
    </row>
    <row r="82" spans="20:24" ht="12.75">
      <c r="T82">
        <v>79</v>
      </c>
      <c r="U82">
        <f t="shared" si="5"/>
        <v>0.79</v>
      </c>
      <c r="V82" s="49">
        <f t="shared" si="6"/>
        <v>0.662860843812139</v>
      </c>
      <c r="X82"/>
    </row>
    <row r="83" spans="20:24" ht="12.75">
      <c r="T83">
        <v>80</v>
      </c>
      <c r="U83">
        <f t="shared" si="5"/>
        <v>0.8</v>
      </c>
      <c r="V83" s="49">
        <f t="shared" si="6"/>
        <v>0.6775662285568189</v>
      </c>
      <c r="X83"/>
    </row>
    <row r="84" spans="20:24" ht="12.75">
      <c r="T84">
        <v>81</v>
      </c>
      <c r="U84">
        <f t="shared" si="5"/>
        <v>0.81</v>
      </c>
      <c r="V84" s="49">
        <f t="shared" si="6"/>
        <v>0.6924090847404064</v>
      </c>
      <c r="X84"/>
    </row>
    <row r="85" spans="20:24" ht="12.75">
      <c r="T85">
        <v>82</v>
      </c>
      <c r="U85">
        <f t="shared" si="5"/>
        <v>0.82</v>
      </c>
      <c r="V85" s="49">
        <f t="shared" si="6"/>
        <v>0.7073889765145955</v>
      </c>
      <c r="X85"/>
    </row>
    <row r="86" spans="20:24" ht="12.75">
      <c r="T86">
        <v>83</v>
      </c>
      <c r="U86">
        <f t="shared" si="5"/>
        <v>0.83</v>
      </c>
      <c r="V86" s="49">
        <f t="shared" si="6"/>
        <v>0.7225054747359154</v>
      </c>
      <c r="X86"/>
    </row>
    <row r="87" spans="20:24" ht="12.75">
      <c r="T87">
        <v>84</v>
      </c>
      <c r="U87">
        <f t="shared" si="5"/>
        <v>0.84</v>
      </c>
      <c r="V87" s="49">
        <f t="shared" si="6"/>
        <v>0.7377581567826768</v>
      </c>
      <c r="X87"/>
    </row>
    <row r="88" spans="20:24" ht="12.75">
      <c r="T88">
        <v>85</v>
      </c>
      <c r="U88">
        <f t="shared" si="5"/>
        <v>0.85</v>
      </c>
      <c r="V88" s="49">
        <f t="shared" si="6"/>
        <v>0.7531466063790474</v>
      </c>
      <c r="X88"/>
    </row>
    <row r="89" spans="20:24" ht="12.75">
      <c r="T89">
        <v>86</v>
      </c>
      <c r="U89">
        <f t="shared" si="5"/>
        <v>0.86</v>
      </c>
      <c r="V89" s="49">
        <f t="shared" si="6"/>
        <v>0.7686704134258964</v>
      </c>
      <c r="X89"/>
    </row>
    <row r="90" spans="20:24" ht="12.75">
      <c r="T90">
        <v>87</v>
      </c>
      <c r="U90">
        <f t="shared" si="5"/>
        <v>0.87</v>
      </c>
      <c r="V90" s="49">
        <f t="shared" si="6"/>
        <v>0.7843291738380691</v>
      </c>
      <c r="X90"/>
    </row>
    <row r="91" spans="20:24" ht="12.75">
      <c r="T91">
        <v>88</v>
      </c>
      <c r="U91">
        <f t="shared" si="5"/>
        <v>0.88</v>
      </c>
      <c r="V91" s="49">
        <f t="shared" si="6"/>
        <v>0.8001224893877802</v>
      </c>
      <c r="X91"/>
    </row>
    <row r="92" spans="20:24" ht="12.75">
      <c r="T92">
        <v>89</v>
      </c>
      <c r="U92">
        <f t="shared" si="5"/>
        <v>0.89</v>
      </c>
      <c r="V92" s="49">
        <f t="shared" si="6"/>
        <v>0.8160499675538248</v>
      </c>
      <c r="X92"/>
    </row>
    <row r="93" spans="20:24" ht="12.75">
      <c r="T93">
        <v>90</v>
      </c>
      <c r="U93">
        <f t="shared" si="5"/>
        <v>0.9</v>
      </c>
      <c r="V93" s="49">
        <f t="shared" si="6"/>
        <v>0.8321112213763292</v>
      </c>
      <c r="X93"/>
    </row>
    <row r="94" spans="20:24" ht="12.75">
      <c r="T94">
        <v>91</v>
      </c>
      <c r="U94">
        <f t="shared" si="5"/>
        <v>0.91</v>
      </c>
      <c r="V94" s="49">
        <f t="shared" si="6"/>
        <v>0.8483058693167794</v>
      </c>
      <c r="X94"/>
    </row>
    <row r="95" spans="20:24" ht="12.75">
      <c r="T95">
        <v>92</v>
      </c>
      <c r="U95">
        <f t="shared" si="5"/>
        <v>0.92</v>
      </c>
      <c r="V95" s="49">
        <f t="shared" si="6"/>
        <v>0.8646335351230768</v>
      </c>
      <c r="X95"/>
    </row>
    <row r="96" spans="20:24" ht="12.75">
      <c r="T96">
        <v>93</v>
      </c>
      <c r="U96">
        <f t="shared" si="5"/>
        <v>0.93</v>
      </c>
      <c r="V96" s="49">
        <f t="shared" si="6"/>
        <v>0.8810938476993907</v>
      </c>
      <c r="X96"/>
    </row>
    <row r="97" spans="20:24" ht="12.75">
      <c r="T97">
        <v>94</v>
      </c>
      <c r="U97">
        <f t="shared" si="5"/>
        <v>0.94</v>
      </c>
      <c r="V97" s="49">
        <f t="shared" si="6"/>
        <v>0.8976864409805841</v>
      </c>
      <c r="X97"/>
    </row>
    <row r="98" spans="20:24" ht="12.75">
      <c r="T98">
        <v>95</v>
      </c>
      <c r="U98">
        <f t="shared" si="5"/>
        <v>0.95</v>
      </c>
      <c r="V98" s="49">
        <f t="shared" si="6"/>
        <v>0.9144109538110086</v>
      </c>
      <c r="X98"/>
    </row>
    <row r="99" spans="20:24" ht="12.75">
      <c r="T99">
        <v>96</v>
      </c>
      <c r="U99">
        <f t="shared" si="5"/>
        <v>0.96</v>
      </c>
      <c r="V99" s="49">
        <f t="shared" si="6"/>
        <v>0.9312670298274669</v>
      </c>
      <c r="X99"/>
    </row>
    <row r="100" spans="20:24" ht="12.75">
      <c r="T100">
        <v>97</v>
      </c>
      <c r="U100">
        <f t="shared" si="5"/>
        <v>0.97</v>
      </c>
      <c r="V100" s="49">
        <f t="shared" si="6"/>
        <v>0.9482543173461631</v>
      </c>
      <c r="X100"/>
    </row>
    <row r="101" spans="20:24" ht="12.75">
      <c r="T101">
        <v>98</v>
      </c>
      <c r="U101">
        <f t="shared" si="5"/>
        <v>0.98</v>
      </c>
      <c r="V101" s="49">
        <f t="shared" si="6"/>
        <v>0.96537246925346</v>
      </c>
      <c r="X101"/>
    </row>
    <row r="102" spans="20:24" ht="12.75">
      <c r="T102">
        <v>99</v>
      </c>
      <c r="U102">
        <f t="shared" si="5"/>
        <v>0.99</v>
      </c>
      <c r="V102" s="49">
        <f t="shared" si="6"/>
        <v>0.9826211429002816</v>
      </c>
      <c r="X102"/>
    </row>
    <row r="103" spans="20:24" ht="12.75">
      <c r="T103">
        <v>100</v>
      </c>
      <c r="U103">
        <f>T103/100</f>
        <v>1</v>
      </c>
      <c r="V103" s="49">
        <f t="shared" si="6"/>
        <v>1</v>
      </c>
      <c r="X103"/>
    </row>
    <row r="104" spans="22:24" ht="12.75">
      <c r="V104" s="1"/>
      <c r="X104"/>
    </row>
    <row r="105" spans="20:24" ht="12.75">
      <c r="T105"/>
      <c r="X105"/>
    </row>
    <row r="106" ht="12.75">
      <c r="T106"/>
    </row>
    <row r="107" ht="12.75">
      <c r="T107"/>
    </row>
    <row r="108" ht="12.75">
      <c r="T108"/>
    </row>
    <row r="109" ht="12.75">
      <c r="T109"/>
    </row>
    <row r="110" ht="12.75">
      <c r="T110"/>
    </row>
    <row r="111" ht="12.75">
      <c r="T111"/>
    </row>
  </sheetData>
  <printOptions/>
  <pageMargins left="0.7480314960629921" right="0.7480314960629921" top="0.984251968503937" bottom="0.984251968503937" header="0.5118110236220472" footer="0.5118110236220472"/>
  <pageSetup horizontalDpi="600" verticalDpi="600" orientation="portrait" paperSize="9" r:id="rId9"/>
  <headerFooter alignWithMargins="0">
    <oddHeader>&amp;L&amp;F&amp;C&amp;A&amp;R&amp;D   &amp;T</oddHeader>
    <oddFooter>&amp;C&amp;F&amp;RPage &amp;P</oddFooter>
  </headerFooter>
  <drawing r:id="rId8"/>
  <legacyDrawing r:id="rId7"/>
  <oleObjects>
    <oleObject progId="Equation.3" shapeId="2469797" r:id="rId2"/>
    <oleObject progId="Equation.3" shapeId="1527742" r:id="rId3"/>
    <oleObject progId="Equation.2" shapeId="1638493" r:id="rId4"/>
    <oleObject progId="Equation.2" shapeId="1640817" r:id="rId5"/>
    <oleObject progId="Equation.3" shapeId="1067528" r:id="rId6"/>
  </oleObjects>
</worksheet>
</file>

<file path=xl/worksheets/sheet4.xml><?xml version="1.0" encoding="utf-8"?>
<worksheet xmlns="http://schemas.openxmlformats.org/spreadsheetml/2006/main" xmlns:r="http://schemas.openxmlformats.org/officeDocument/2006/relationships">
  <sheetPr codeName="Sheet6"/>
  <dimension ref="A1:T39"/>
  <sheetViews>
    <sheetView workbookViewId="0" topLeftCell="A1">
      <selection activeCell="M35" sqref="M35"/>
    </sheetView>
  </sheetViews>
  <sheetFormatPr defaultColWidth="9.140625" defaultRowHeight="12.75"/>
  <cols>
    <col min="1" max="1" width="4.140625" style="0" customWidth="1"/>
    <col min="2" max="2" width="14.421875" style="0" customWidth="1"/>
    <col min="3" max="3" width="8.421875" style="0" customWidth="1"/>
    <col min="4" max="4" width="7.7109375" style="0" customWidth="1"/>
    <col min="5" max="5" width="9.00390625" style="0" customWidth="1"/>
    <col min="6" max="7" width="8.28125" style="0" hidden="1" customWidth="1"/>
    <col min="8" max="8" width="11.00390625" style="0" customWidth="1"/>
    <col min="9" max="9" width="5.140625" style="0" customWidth="1"/>
    <col min="10" max="10" width="8.28125" style="0" customWidth="1"/>
    <col min="11" max="11" width="9.28125" style="0" customWidth="1"/>
    <col min="12" max="12" width="7.00390625" style="0" customWidth="1"/>
    <col min="13" max="13" width="12.7109375" style="0" customWidth="1"/>
    <col min="14" max="14" width="8.28125" style="0" customWidth="1"/>
    <col min="15" max="15" width="7.8515625" style="0" customWidth="1"/>
    <col min="16" max="16" width="7.140625" style="0" customWidth="1"/>
    <col min="18" max="18" width="9.57421875" style="0" customWidth="1"/>
  </cols>
  <sheetData>
    <row r="1" spans="1:19" ht="20.25">
      <c r="A1" s="8" t="s">
        <v>148</v>
      </c>
      <c r="B1" s="9"/>
      <c r="C1" s="9"/>
      <c r="D1" s="9"/>
      <c r="E1" s="9"/>
      <c r="F1" s="9"/>
      <c r="G1" s="9"/>
      <c r="I1" s="9"/>
      <c r="J1" s="9"/>
      <c r="K1" s="9"/>
      <c r="L1" s="9"/>
      <c r="M1" s="9"/>
      <c r="N1" s="9"/>
      <c r="O1" s="9"/>
      <c r="P1" s="10"/>
      <c r="Q1" s="122"/>
      <c r="R1" s="10"/>
      <c r="S1" s="100" t="s">
        <v>176</v>
      </c>
    </row>
    <row r="2" spans="1:20" s="172" customFormat="1" ht="13.5" thickBot="1">
      <c r="A2" s="182" t="s">
        <v>156</v>
      </c>
      <c r="B2" s="172" t="s">
        <v>147</v>
      </c>
      <c r="D2" s="183" t="s">
        <v>105</v>
      </c>
      <c r="H2" s="184" t="s">
        <v>106</v>
      </c>
      <c r="L2" s="184" t="s">
        <v>98</v>
      </c>
      <c r="M2" s="172" t="s">
        <v>200</v>
      </c>
      <c r="N2" s="172" t="s">
        <v>179</v>
      </c>
      <c r="O2" s="183" t="s">
        <v>278</v>
      </c>
      <c r="Q2" s="185" t="s">
        <v>117</v>
      </c>
      <c r="R2" s="172" t="s">
        <v>149</v>
      </c>
      <c r="S2" s="172" t="s">
        <v>118</v>
      </c>
      <c r="T2" s="172" t="s">
        <v>91</v>
      </c>
    </row>
    <row r="3" spans="1:20" s="100" customFormat="1" ht="13.5" thickBot="1">
      <c r="A3" s="198"/>
      <c r="D3" s="199"/>
      <c r="H3" s="153"/>
      <c r="K3" s="162" t="s">
        <v>2</v>
      </c>
      <c r="L3" s="471" t="s">
        <v>2</v>
      </c>
      <c r="M3" s="163" t="s">
        <v>3</v>
      </c>
      <c r="R3" s="231">
        <f>MAX($E$27)</f>
        <v>1.1108242318498496</v>
      </c>
      <c r="S3" s="231">
        <f>MAX($G$27)</f>
        <v>1.1165875279618132</v>
      </c>
      <c r="T3" s="253"/>
    </row>
    <row r="4" spans="1:19" ht="13.5" thickTop="1">
      <c r="A4" s="9"/>
      <c r="B4" s="405"/>
      <c r="C4" s="406" t="s">
        <v>132</v>
      </c>
      <c r="D4" s="407" t="s">
        <v>108</v>
      </c>
      <c r="E4" s="407" t="s">
        <v>114</v>
      </c>
      <c r="F4" s="227" t="s">
        <v>184</v>
      </c>
      <c r="G4" s="283" t="s">
        <v>185</v>
      </c>
      <c r="H4" s="281" t="s">
        <v>132</v>
      </c>
      <c r="N4" s="175"/>
      <c r="R4" s="232">
        <f>COUNT($E$5)</f>
        <v>1</v>
      </c>
      <c r="S4" s="232">
        <f>COUNT($G$5)</f>
        <v>1</v>
      </c>
    </row>
    <row r="5" spans="1:19" ht="16.5" thickBot="1">
      <c r="A5" s="9"/>
      <c r="B5" s="410" t="s">
        <v>109</v>
      </c>
      <c r="C5" s="225" t="s">
        <v>133</v>
      </c>
      <c r="D5" s="226">
        <v>300</v>
      </c>
      <c r="E5" s="470">
        <v>8.237179299129561</v>
      </c>
      <c r="F5" s="408">
        <v>8</v>
      </c>
      <c r="G5" s="409">
        <v>10.690306548989966</v>
      </c>
      <c r="H5" s="301"/>
      <c r="R5" s="232" t="b">
        <f>$E$5&lt;=CloneNumber!$D$5</f>
        <v>1</v>
      </c>
      <c r="S5" s="232" t="b">
        <f>$G$5&lt;=CloneNumber!$D$5</f>
        <v>1</v>
      </c>
    </row>
    <row r="6" spans="1:19" ht="12.75" customHeight="1">
      <c r="A6" s="475" t="s">
        <v>110</v>
      </c>
      <c r="B6" s="227" t="s">
        <v>111</v>
      </c>
      <c r="C6" s="236" t="s">
        <v>159</v>
      </c>
      <c r="D6" s="440">
        <v>0.1</v>
      </c>
      <c r="E6" s="218">
        <f>$D6*$D$15/E$12</f>
        <v>0.011479056317127503</v>
      </c>
      <c r="F6" s="219">
        <f>$D6*$D$15/F$12</f>
        <v>0.01149425287356322</v>
      </c>
      <c r="G6" s="219">
        <f>$D6*$D$15/G$12</f>
        <v>0.011362779763137305</v>
      </c>
      <c r="H6" s="220" t="s">
        <v>157</v>
      </c>
      <c r="I6" s="478" t="s">
        <v>125</v>
      </c>
      <c r="J6" s="247"/>
      <c r="K6" s="247"/>
      <c r="R6" s="232" t="b">
        <f>$E$5&gt;=2</f>
        <v>1</v>
      </c>
      <c r="S6" s="232" t="b">
        <f>$G$5&gt;=2</f>
        <v>1</v>
      </c>
    </row>
    <row r="7" spans="1:19" ht="16.5" thickBot="1">
      <c r="A7" s="476"/>
      <c r="B7" s="170" t="s">
        <v>112</v>
      </c>
      <c r="C7" s="237" t="s">
        <v>160</v>
      </c>
      <c r="D7" s="228">
        <f>1-D6-D8-D10</f>
        <v>0.09999999999999998</v>
      </c>
      <c r="E7" s="221">
        <f>$D7/E$12</f>
        <v>0.11479056317127499</v>
      </c>
      <c r="F7" s="188">
        <f>$D7/F$12</f>
        <v>0.11494252873563214</v>
      </c>
      <c r="G7" s="188">
        <f>$D7/G$12</f>
        <v>0.11362779763137301</v>
      </c>
      <c r="H7" s="196" t="s">
        <v>158</v>
      </c>
      <c r="I7" s="479"/>
      <c r="J7" s="247"/>
      <c r="K7" s="247"/>
      <c r="R7" s="233">
        <f>{100,100,1E-05,0.05,FALSE,FALSE,FALSE,1,1,1,0.0001,TRUE}</f>
        <v>100</v>
      </c>
      <c r="S7" s="233">
        <f>{100,100,1E-05,0.05,FALSE,FALSE,FALSE,1,1,1,0.0001,TRUE}</f>
        <v>100</v>
      </c>
    </row>
    <row r="8" spans="1:10" ht="24" customHeight="1">
      <c r="A8" s="476"/>
      <c r="B8" s="171" t="s">
        <v>136</v>
      </c>
      <c r="C8" s="238" t="s">
        <v>161</v>
      </c>
      <c r="D8" s="428">
        <v>0.4</v>
      </c>
      <c r="E8" s="222">
        <f>$D8*(E5-1)/(E12*E5)</f>
        <v>0.40341959661184684</v>
      </c>
      <c r="F8" s="189">
        <f>$D8*(F5-1)/(F12*F5)</f>
        <v>0.40229885057471265</v>
      </c>
      <c r="G8" s="189">
        <f>$D8*(G5-1)/(G12*G5)</f>
        <v>0.41199499246862403</v>
      </c>
      <c r="H8" s="196" t="s">
        <v>164</v>
      </c>
      <c r="I8" s="479"/>
      <c r="J8" s="247"/>
    </row>
    <row r="9" spans="1:10" ht="22.5">
      <c r="A9" s="476"/>
      <c r="B9" s="171" t="s">
        <v>113</v>
      </c>
      <c r="C9" s="238"/>
      <c r="D9" s="288"/>
      <c r="E9" s="222">
        <f>$D8*$D$15*$D$14/(E$12*E5)</f>
        <v>0.011148531214650644</v>
      </c>
      <c r="F9" s="189">
        <f>$D8*$D$15*$D$14/(F$12*F5)</f>
        <v>0.01149425287356322</v>
      </c>
      <c r="G9" s="189">
        <f>$D8*$D$15*$D$14/(G$12*G5)</f>
        <v>0.008503239611373633</v>
      </c>
      <c r="H9" s="196" t="s">
        <v>177</v>
      </c>
      <c r="I9" s="479"/>
      <c r="J9" s="247"/>
    </row>
    <row r="10" spans="1:11" ht="16.5" thickBot="1">
      <c r="A10" s="476"/>
      <c r="B10" s="411" t="s">
        <v>253</v>
      </c>
      <c r="C10" s="412" t="s">
        <v>162</v>
      </c>
      <c r="D10" s="441">
        <v>0.4</v>
      </c>
      <c r="E10" s="221">
        <f>$D10/E$12</f>
        <v>0.4591622526851001</v>
      </c>
      <c r="F10" s="188">
        <f>$D10/F$12</f>
        <v>0.45977011494252873</v>
      </c>
      <c r="G10" s="188">
        <f>$D10/G$12</f>
        <v>0.45451119052549216</v>
      </c>
      <c r="H10" s="196" t="s">
        <v>178</v>
      </c>
      <c r="I10" s="479"/>
      <c r="J10" s="247"/>
      <c r="K10" s="247"/>
    </row>
    <row r="11" spans="1:11" ht="13.5" hidden="1" thickBot="1">
      <c r="A11" s="477"/>
      <c r="B11" s="230" t="s">
        <v>107</v>
      </c>
      <c r="C11" s="239"/>
      <c r="D11" s="248">
        <f>D6+D7+D8+D9+D10</f>
        <v>1</v>
      </c>
      <c r="E11" s="249">
        <f>E6+E7+E8+E9+E10</f>
        <v>1</v>
      </c>
      <c r="F11" s="250">
        <f>F6+F7+F8+F9+F10</f>
        <v>1</v>
      </c>
      <c r="G11" s="250">
        <f>G6+G7+G8+G9+G10</f>
        <v>1.0000000000000002</v>
      </c>
      <c r="H11" s="196"/>
      <c r="I11" s="479"/>
      <c r="J11" s="247"/>
      <c r="K11" s="247"/>
    </row>
    <row r="12" spans="1:11" ht="15.75">
      <c r="A12" s="405"/>
      <c r="B12" s="283"/>
      <c r="C12" s="414" t="s">
        <v>165</v>
      </c>
      <c r="D12" s="281"/>
      <c r="E12" s="251">
        <f>$D15*$D6+$D7+(E5-1+$D15*$D$14)*$D8/E5+$D10</f>
        <v>0.8711517500858801</v>
      </c>
      <c r="F12" s="190">
        <f>$D15*$D6+$D7+(F5-1+$D15*$D$14)*$D8/F5+$D10</f>
        <v>0.8700000000000001</v>
      </c>
      <c r="G12" s="190">
        <f>$D15*$D6+$D7+(G5-1+$D15*$D$14)*$D8/G5+$D10</f>
        <v>0.8800663401434232</v>
      </c>
      <c r="H12" s="196"/>
      <c r="I12" s="479"/>
      <c r="J12" s="247"/>
      <c r="K12" s="247"/>
    </row>
    <row r="13" spans="1:11" ht="16.5" thickBot="1">
      <c r="A13" s="413"/>
      <c r="B13" s="103"/>
      <c r="C13" s="415" t="s">
        <v>257</v>
      </c>
      <c r="D13" s="301"/>
      <c r="E13" s="252">
        <f>E6+E9</f>
        <v>0.022627587531778147</v>
      </c>
      <c r="F13" s="223">
        <f>F6+F9</f>
        <v>0.02298850574712644</v>
      </c>
      <c r="G13" s="223">
        <f>G6+G9</f>
        <v>0.01986601937451094</v>
      </c>
      <c r="H13" s="224" t="s">
        <v>129</v>
      </c>
      <c r="I13" s="480"/>
      <c r="J13" s="247"/>
      <c r="K13" s="247"/>
    </row>
    <row r="14" spans="1:11" ht="15.75">
      <c r="A14" s="405"/>
      <c r="B14" s="417" t="s">
        <v>135</v>
      </c>
      <c r="C14" s="418" t="s">
        <v>131</v>
      </c>
      <c r="D14" s="438">
        <v>2</v>
      </c>
      <c r="E14" s="419"/>
      <c r="H14" s="167" t="s">
        <v>84</v>
      </c>
      <c r="I14" s="442">
        <f>100*SQRT(D14-1)</f>
        <v>100</v>
      </c>
      <c r="J14" s="216"/>
      <c r="K14" s="216"/>
    </row>
    <row r="15" spans="1:11" ht="15.75">
      <c r="A15" s="420"/>
      <c r="B15" s="40"/>
      <c r="C15" s="186" t="s">
        <v>126</v>
      </c>
      <c r="D15" s="439">
        <v>0.1</v>
      </c>
      <c r="E15" s="421"/>
      <c r="H15" s="47" t="s">
        <v>152</v>
      </c>
      <c r="I15" s="443">
        <f>1-0.5/E18</f>
        <v>0.9279431442083171</v>
      </c>
      <c r="J15" s="40"/>
      <c r="K15" s="40"/>
    </row>
    <row r="16" spans="1:11" ht="12.75" customHeight="1">
      <c r="A16" s="420"/>
      <c r="B16" s="40"/>
      <c r="C16" s="201" t="s">
        <v>260</v>
      </c>
      <c r="D16" s="439">
        <v>0.5</v>
      </c>
      <c r="E16" s="421"/>
      <c r="H16" s="40"/>
      <c r="I16" s="40"/>
      <c r="J16" s="40"/>
      <c r="K16" s="40"/>
    </row>
    <row r="17" spans="1:11" ht="12.75">
      <c r="A17" s="420"/>
      <c r="B17" s="40"/>
      <c r="C17" s="196" t="s">
        <v>124</v>
      </c>
      <c r="D17" s="289"/>
      <c r="E17" s="422">
        <f>E13*$D$16</f>
        <v>0.011313793765889073</v>
      </c>
      <c r="F17" s="194">
        <f>F13*$D$16</f>
        <v>0.01149425287356322</v>
      </c>
      <c r="H17" s="40"/>
      <c r="I17" s="40"/>
      <c r="J17" s="40"/>
      <c r="K17" s="40"/>
    </row>
    <row r="18" spans="1:11" ht="16.5" customHeight="1">
      <c r="A18" s="420"/>
      <c r="B18" s="192" t="s">
        <v>116</v>
      </c>
      <c r="C18" s="204" t="s">
        <v>151</v>
      </c>
      <c r="D18" s="289"/>
      <c r="E18" s="423">
        <f>E5/($D$14*(1-E10/2)^2)</f>
        <v>6.938964995163063</v>
      </c>
      <c r="F18" s="193">
        <f>F5/($D$14*(1-F10/2)^2)</f>
        <v>6.744486522610826</v>
      </c>
      <c r="G18" s="193">
        <f>4*G5*G5*G30/((G5+(1-G10)*(3-G10)*G30*G5)*D14)</f>
        <v>6.30969104118828</v>
      </c>
      <c r="J18" s="235"/>
      <c r="K18" s="235"/>
    </row>
    <row r="19" spans="1:11" ht="15.75" customHeight="1">
      <c r="A19" s="420"/>
      <c r="B19" s="186" t="s">
        <v>127</v>
      </c>
      <c r="C19" s="40"/>
      <c r="D19" s="439">
        <v>0.2</v>
      </c>
      <c r="E19" s="424"/>
      <c r="F19" s="193"/>
      <c r="H19" s="40"/>
      <c r="I19" s="40"/>
      <c r="J19" s="40"/>
      <c r="K19" s="40"/>
    </row>
    <row r="20" spans="1:11" ht="15.75">
      <c r="A20" s="420"/>
      <c r="B20" s="40" t="s">
        <v>258</v>
      </c>
      <c r="C20" s="204" t="s">
        <v>254</v>
      </c>
      <c r="D20" s="289"/>
      <c r="E20" s="425">
        <f>1-$D$19*0.5/E18</f>
        <v>0.9855886288416634</v>
      </c>
      <c r="F20" s="194">
        <f>1-$D$19*0.5/F18</f>
        <v>0.985173074382349</v>
      </c>
      <c r="G20" s="191">
        <f>1-$D$19*0.5/G18</f>
        <v>0.9841513634586508</v>
      </c>
      <c r="I20" s="40"/>
      <c r="J20" s="40"/>
      <c r="K20" s="40"/>
    </row>
    <row r="21" spans="1:11" ht="15.75">
      <c r="A21" s="420"/>
      <c r="B21" s="426" t="s">
        <v>144</v>
      </c>
      <c r="C21" s="204" t="s">
        <v>256</v>
      </c>
      <c r="D21" s="439">
        <v>0.85</v>
      </c>
      <c r="E21" s="427"/>
      <c r="F21" s="191"/>
      <c r="G21" s="191"/>
      <c r="H21" s="40"/>
      <c r="I21" s="40"/>
      <c r="J21" s="40"/>
      <c r="K21" s="40"/>
    </row>
    <row r="22" spans="1:11" ht="15.75">
      <c r="A22" s="420"/>
      <c r="B22" s="205" t="s">
        <v>143</v>
      </c>
      <c r="C22" s="204" t="s">
        <v>141</v>
      </c>
      <c r="D22" s="289"/>
      <c r="E22" s="428">
        <v>0.125</v>
      </c>
      <c r="F22" s="168">
        <v>0.125</v>
      </c>
      <c r="H22" s="40"/>
      <c r="I22" s="40"/>
      <c r="J22" s="40"/>
      <c r="K22" s="40"/>
    </row>
    <row r="23" spans="1:11" ht="15.75">
      <c r="A23" s="420"/>
      <c r="B23" s="416" t="s">
        <v>166</v>
      </c>
      <c r="C23" s="204" t="s">
        <v>142</v>
      </c>
      <c r="D23" s="289"/>
      <c r="E23" s="428">
        <v>0.8</v>
      </c>
      <c r="F23" s="168">
        <v>0.7</v>
      </c>
      <c r="H23" s="40"/>
      <c r="I23" s="40"/>
      <c r="J23" s="40"/>
      <c r="K23" s="40"/>
    </row>
    <row r="24" spans="1:7" ht="12.75">
      <c r="A24" s="429"/>
      <c r="B24" s="192" t="s">
        <v>115</v>
      </c>
      <c r="C24" s="204" t="s">
        <v>137</v>
      </c>
      <c r="D24" s="289"/>
      <c r="E24" s="430">
        <f>SelBurr(E5,$D5)</f>
        <v>2.276598816997874</v>
      </c>
      <c r="F24" s="195">
        <f>SelBurr(F5,E5)</f>
        <v>0.04401197291606465</v>
      </c>
      <c r="G24" s="195">
        <f>SelBurr(G30*G5,$D5)</f>
        <v>2.425858526610767</v>
      </c>
    </row>
    <row r="25" spans="1:12" ht="12.75">
      <c r="A25" s="289"/>
      <c r="B25" s="431" t="s">
        <v>139</v>
      </c>
      <c r="C25" s="432" t="s">
        <v>138</v>
      </c>
      <c r="D25" s="289"/>
      <c r="E25" s="433">
        <f>E24*$E23*$E22</f>
        <v>0.22765988169978743</v>
      </c>
      <c r="F25" s="195">
        <f>E25+F24*F23*F22</f>
        <v>0.23151092932994308</v>
      </c>
      <c r="G25" s="195">
        <f>G24*E23*E22</f>
        <v>0.24258585266107668</v>
      </c>
      <c r="L25" s="23"/>
    </row>
    <row r="26" spans="1:7" ht="15.75">
      <c r="A26" s="289"/>
      <c r="B26" s="40" t="s">
        <v>259</v>
      </c>
      <c r="C26" s="204" t="s">
        <v>255</v>
      </c>
      <c r="D26" s="289"/>
      <c r="E26" s="434">
        <f>((1+E25)*(1+E13*(2*$D16-1)+E7+E8)+E10*$D21)/2</f>
        <v>1.1270668099685488</v>
      </c>
      <c r="F26" s="197">
        <f>((1+F25)*(1+F13*(2*$D16-1)+F7+F8)+F10*$D21)/2</f>
        <v>1.1296519693767384</v>
      </c>
      <c r="G26" s="197">
        <f>(1+G25)*(1+G13*(2*$D16-1))/2+((1+G33)*(1-G13-G10)+G10*$D21)/2</f>
        <v>1.1345688980582576</v>
      </c>
    </row>
    <row r="27" spans="1:7" ht="16.5" thickBot="1">
      <c r="A27" s="435"/>
      <c r="B27" s="103" t="s">
        <v>153</v>
      </c>
      <c r="C27" s="436" t="s">
        <v>140</v>
      </c>
      <c r="D27" s="435"/>
      <c r="E27" s="437">
        <f>E26*E20</f>
        <v>1.1108242318498496</v>
      </c>
      <c r="F27" s="169">
        <f>F26*F20</f>
        <v>1.1129027036529566</v>
      </c>
      <c r="G27" s="169">
        <f>G26*G20</f>
        <v>1.1165875279618132</v>
      </c>
    </row>
    <row r="28" spans="2:18" ht="12.75">
      <c r="B28" t="s">
        <v>186</v>
      </c>
      <c r="R28" s="174"/>
    </row>
    <row r="29" spans="2:17" ht="12.75">
      <c r="B29" t="s">
        <v>187</v>
      </c>
      <c r="Q29" s="173"/>
    </row>
    <row r="30" spans="6:7" ht="12.75">
      <c r="F30" t="s">
        <v>201</v>
      </c>
      <c r="G30" s="123">
        <v>0.5</v>
      </c>
    </row>
    <row r="31" spans="15:17" ht="12.75">
      <c r="O31" s="174"/>
      <c r="Q31" s="174"/>
    </row>
    <row r="32" spans="6:13" ht="15.75">
      <c r="F32" s="47" t="s">
        <v>197</v>
      </c>
      <c r="G32" s="195">
        <f>SelBurr(G5,D5)</f>
        <v>2.1801688124476524</v>
      </c>
      <c r="M32" s="23"/>
    </row>
    <row r="33" spans="6:7" ht="14.25">
      <c r="F33" s="202" t="s">
        <v>198</v>
      </c>
      <c r="G33" s="195">
        <f>G32*E22*E23</f>
        <v>0.21801688124476526</v>
      </c>
    </row>
    <row r="34" ht="12.75">
      <c r="R34" s="40"/>
    </row>
    <row r="39" ht="12.75">
      <c r="Q39" s="40"/>
    </row>
  </sheetData>
  <mergeCells count="2">
    <mergeCell ref="A6:A11"/>
    <mergeCell ref="I6:I13"/>
  </mergeCells>
  <dataValidations count="6">
    <dataValidation errorStyle="warning" type="decimal" operator="greaterThanOrEqual" allowBlank="1" showInputMessage="1" showErrorMessage="1" errorTitle="Sibling coefficient" error="Sibling coefficient should be at least 1!" sqref="D14">
      <formula1>1</formula1>
    </dataValidation>
    <dataValidation errorStyle="warning" type="whole" operator="greaterThan" allowBlank="1" showInputMessage="1" showErrorMessage="1" error="There should be more than 1 candidate!" sqref="D5">
      <formula1>1</formula1>
    </dataValidation>
    <dataValidation errorStyle="warning" type="decimal" allowBlank="1" showInputMessage="1" showErrorMessage="1" errorTitle="Correlation" error="A correlation must have a value between -1 and +1!" sqref="E23">
      <formula1>-1</formula1>
      <formula2>1</formula2>
    </dataValidation>
    <dataValidation errorStyle="warning" type="decimal" allowBlank="1" showInputMessage="1" showErrorMessage="1" error="A share of pollination must be between 0 and 1!&#10;This is set as a difference, so change another pollination contribution!" sqref="D7">
      <formula1>0</formula1>
      <formula2>1</formula2>
    </dataValidation>
    <dataValidation errorStyle="warning" type="decimal" allowBlank="1" showInputMessage="1" showErrorMessage="1" errorTitle="Number of clones in the orchard" error="You can hardly make an orchard with less than one clone, and the number of selections to the orchard can not be higher than the number of clones to select from!" sqref="E5">
      <formula1>1</formula1>
      <formula2>D5</formula2>
    </dataValidation>
    <dataValidation errorStyle="warning" type="decimal" allowBlank="1" showInputMessage="1" showErrorMessage="1" errorTitle="Clones after roguing" error="The number remaining after thinning can not be bigger than available before thinning!" sqref="F5:G5">
      <formula1>2</formula1>
      <formula2>E5</formula2>
    </dataValidation>
  </dataValidations>
  <printOptions/>
  <pageMargins left="0.75" right="0.75" top="1" bottom="1" header="0.5" footer="0.5"/>
  <pageSetup horizontalDpi="600" verticalDpi="600" orientation="portrait" r:id="rId20"/>
  <legacyDrawing r:id="rId19"/>
  <oleObjects>
    <oleObject progId="Equation.3" shapeId="44132515" r:id="rId2"/>
    <oleObject progId="Equation.3" shapeId="12816952" r:id="rId3"/>
    <oleObject progId="Equation.2" shapeId="12085287" r:id="rId4"/>
    <oleObject progId="Equation.3" shapeId="29036138" r:id="rId5"/>
    <oleObject progId="Equation.3" shapeId="29048593" r:id="rId6"/>
    <oleObject progId="Equation.3" shapeId="6300758" r:id="rId7"/>
    <oleObject progId="Equation.3" shapeId="44135788" r:id="rId8"/>
    <oleObject progId="Equation.3" shapeId="11805350" r:id="rId9"/>
    <oleObject progId="Equation.3" shapeId="13080513" r:id="rId10"/>
    <oleObject progId="Equation.3" shapeId="1538332" r:id="rId11"/>
    <oleObject progId="Equation.3" shapeId="11336817" r:id="rId12"/>
    <oleObject progId="Equation.3" shapeId="12790827" r:id="rId13"/>
    <oleObject progId="Equation.3" shapeId="12802338" r:id="rId14"/>
    <oleObject progId="Equation.3" shapeId="12812933" r:id="rId15"/>
    <oleObject progId="Equation.3" shapeId="12825726" r:id="rId16"/>
    <oleObject progId="Equation.3" shapeId="9674330" r:id="rId17"/>
    <oleObject progId="Equation.3" shapeId="11258258" r:id="rId18"/>
  </oleObjects>
</worksheet>
</file>

<file path=xl/worksheets/sheet5.xml><?xml version="1.0" encoding="utf-8"?>
<worksheet xmlns="http://schemas.openxmlformats.org/spreadsheetml/2006/main" xmlns:r="http://schemas.openxmlformats.org/officeDocument/2006/relationships">
  <sheetPr codeName="Sheet7"/>
  <dimension ref="B2:T60"/>
  <sheetViews>
    <sheetView workbookViewId="0" topLeftCell="A1">
      <selection activeCell="B29" sqref="B29"/>
    </sheetView>
  </sheetViews>
  <sheetFormatPr defaultColWidth="9.140625" defaultRowHeight="12.75"/>
  <sheetData>
    <row r="2" spans="2:10" ht="13.5" thickBot="1">
      <c r="B2" t="s">
        <v>181</v>
      </c>
      <c r="E2" s="181" t="s">
        <v>167</v>
      </c>
      <c r="J2" t="s">
        <v>182</v>
      </c>
    </row>
    <row r="3" spans="2:10" ht="15.75">
      <c r="B3" s="227" t="s">
        <v>111</v>
      </c>
      <c r="C3" s="236" t="s">
        <v>159</v>
      </c>
      <c r="D3" s="240">
        <v>0.1</v>
      </c>
      <c r="E3" s="178">
        <v>0.1</v>
      </c>
      <c r="F3" s="240">
        <v>0.2</v>
      </c>
      <c r="G3" s="240">
        <v>0.1</v>
      </c>
      <c r="H3" s="240">
        <v>0.1</v>
      </c>
      <c r="J3" s="240">
        <f>E3</f>
        <v>0.1</v>
      </c>
    </row>
    <row r="4" spans="2:10" ht="15.75">
      <c r="B4" s="170" t="s">
        <v>112</v>
      </c>
      <c r="C4" s="237" t="s">
        <v>160</v>
      </c>
      <c r="D4" s="240">
        <v>0.1</v>
      </c>
      <c r="E4" s="178">
        <v>0.1</v>
      </c>
      <c r="F4" s="240">
        <v>0</v>
      </c>
      <c r="G4" s="240">
        <v>0</v>
      </c>
      <c r="H4" s="240">
        <v>0.1</v>
      </c>
      <c r="J4" s="240">
        <f>E4</f>
        <v>0.1</v>
      </c>
    </row>
    <row r="5" spans="2:10" ht="33.75">
      <c r="B5" s="171" t="s">
        <v>136</v>
      </c>
      <c r="C5" s="238" t="s">
        <v>161</v>
      </c>
      <c r="D5" s="240">
        <v>0.8</v>
      </c>
      <c r="E5" s="178">
        <v>0.4</v>
      </c>
      <c r="F5" s="240">
        <v>0.4</v>
      </c>
      <c r="G5" s="240">
        <v>0.5</v>
      </c>
      <c r="H5" s="240">
        <v>0.2</v>
      </c>
      <c r="J5" s="240">
        <f>E5</f>
        <v>0.4</v>
      </c>
    </row>
    <row r="6" spans="2:10" ht="15.75">
      <c r="B6" s="170" t="s">
        <v>134</v>
      </c>
      <c r="C6" s="237" t="s">
        <v>162</v>
      </c>
      <c r="D6" s="240">
        <v>0</v>
      </c>
      <c r="E6" s="178">
        <v>0.4</v>
      </c>
      <c r="F6" s="240">
        <v>0.4</v>
      </c>
      <c r="G6" s="240">
        <v>0.4</v>
      </c>
      <c r="H6" s="240">
        <v>0.6</v>
      </c>
      <c r="J6" s="240">
        <f>E6</f>
        <v>0.4</v>
      </c>
    </row>
    <row r="7" spans="4:8" ht="12.75">
      <c r="D7" s="242">
        <v>21.17</v>
      </c>
      <c r="E7" s="179">
        <v>16.1</v>
      </c>
      <c r="F7" s="242">
        <v>16.77</v>
      </c>
      <c r="G7" s="176">
        <v>17.63</v>
      </c>
      <c r="H7" s="176">
        <v>12.69</v>
      </c>
    </row>
    <row r="8" spans="2:6" ht="12.75">
      <c r="B8" t="s">
        <v>119</v>
      </c>
      <c r="D8" t="s">
        <v>121</v>
      </c>
      <c r="E8" t="s">
        <v>120</v>
      </c>
      <c r="F8" t="s">
        <v>122</v>
      </c>
    </row>
    <row r="9" spans="2:10" ht="12.75">
      <c r="B9" t="s">
        <v>108</v>
      </c>
      <c r="D9" s="59">
        <v>150</v>
      </c>
      <c r="E9" s="177">
        <v>300</v>
      </c>
      <c r="F9" s="59">
        <v>600</v>
      </c>
      <c r="J9" s="177">
        <f>E9</f>
        <v>300</v>
      </c>
    </row>
    <row r="10" spans="4:10" ht="12.75">
      <c r="D10" s="242">
        <v>14.32</v>
      </c>
      <c r="E10" s="179">
        <v>16.1</v>
      </c>
      <c r="F10" s="242">
        <v>17.83</v>
      </c>
      <c r="J10" s="179">
        <v>8.24</v>
      </c>
    </row>
    <row r="11" spans="2:10" ht="15.75">
      <c r="B11" s="200" t="s">
        <v>135</v>
      </c>
      <c r="C11" s="203" t="s">
        <v>131</v>
      </c>
      <c r="D11" s="59">
        <v>1</v>
      </c>
      <c r="E11" s="177">
        <v>2</v>
      </c>
      <c r="F11" s="59">
        <v>3</v>
      </c>
      <c r="J11" s="177">
        <f>E11</f>
        <v>2</v>
      </c>
    </row>
    <row r="12" spans="4:10" ht="12.75">
      <c r="D12" s="242">
        <v>9.73</v>
      </c>
      <c r="E12" s="179">
        <v>16.1</v>
      </c>
      <c r="F12" s="242">
        <v>21.97</v>
      </c>
      <c r="J12" s="179"/>
    </row>
    <row r="13" spans="3:10" ht="12.75">
      <c r="C13" s="186" t="s">
        <v>126</v>
      </c>
      <c r="D13" s="59">
        <v>0</v>
      </c>
      <c r="E13" s="177">
        <v>0.3</v>
      </c>
      <c r="F13" s="59">
        <v>1</v>
      </c>
      <c r="J13" s="177">
        <v>0.1</v>
      </c>
    </row>
    <row r="14" spans="4:10" ht="12.75">
      <c r="D14" s="241">
        <v>11.35</v>
      </c>
      <c r="E14" s="179">
        <v>16.1</v>
      </c>
      <c r="F14" s="242">
        <v>23.86</v>
      </c>
      <c r="J14" s="179"/>
    </row>
    <row r="15" spans="3:10" ht="12.75">
      <c r="C15" s="201" t="s">
        <v>128</v>
      </c>
      <c r="D15" s="59">
        <v>0</v>
      </c>
      <c r="E15" s="177">
        <v>0.5</v>
      </c>
      <c r="F15" s="59">
        <v>1</v>
      </c>
      <c r="J15" s="177">
        <f>E15</f>
        <v>0.5</v>
      </c>
    </row>
    <row r="16" spans="4:10" ht="12.75">
      <c r="D16" s="242">
        <v>20.93</v>
      </c>
      <c r="E16" s="179">
        <v>16.1</v>
      </c>
      <c r="F16" s="241">
        <v>11.12</v>
      </c>
      <c r="J16" s="179"/>
    </row>
    <row r="17" spans="3:10" ht="12.75">
      <c r="C17" s="51" t="s">
        <v>127</v>
      </c>
      <c r="D17" s="59">
        <v>0</v>
      </c>
      <c r="E17" s="180">
        <v>0.4</v>
      </c>
      <c r="F17" s="59">
        <v>1</v>
      </c>
      <c r="J17" s="180">
        <v>0.2</v>
      </c>
    </row>
    <row r="18" spans="4:10" ht="12.75">
      <c r="D18" s="241">
        <v>7.6</v>
      </c>
      <c r="E18" s="179">
        <v>16.1</v>
      </c>
      <c r="F18" s="242">
        <v>27.55</v>
      </c>
      <c r="J18" s="179"/>
    </row>
    <row r="19" spans="2:10" ht="13.5">
      <c r="B19" s="206" t="s">
        <v>144</v>
      </c>
      <c r="C19" s="167" t="s">
        <v>123</v>
      </c>
      <c r="D19" s="59">
        <v>0.8</v>
      </c>
      <c r="E19" s="177">
        <v>0.94</v>
      </c>
      <c r="F19" s="59">
        <v>1</v>
      </c>
      <c r="J19" s="177">
        <v>0.85</v>
      </c>
    </row>
    <row r="20" spans="4:10" ht="12.75">
      <c r="D20" s="242">
        <v>16.04</v>
      </c>
      <c r="E20" s="179">
        <v>16.1</v>
      </c>
      <c r="F20" s="242">
        <v>16.13</v>
      </c>
      <c r="J20" s="179"/>
    </row>
    <row r="21" spans="2:10" ht="15.75">
      <c r="B21" s="205" t="s">
        <v>143</v>
      </c>
      <c r="C21" s="204" t="s">
        <v>141</v>
      </c>
      <c r="D21" s="59">
        <v>0.05</v>
      </c>
      <c r="E21" s="177">
        <v>0.125</v>
      </c>
      <c r="F21" s="59">
        <v>0.2</v>
      </c>
      <c r="J21" s="177">
        <f>E21</f>
        <v>0.125</v>
      </c>
    </row>
    <row r="22" spans="4:10" ht="12.75">
      <c r="D22" s="242">
        <v>31.45</v>
      </c>
      <c r="E22" s="179">
        <v>16.1</v>
      </c>
      <c r="F22" s="242">
        <v>11.84</v>
      </c>
      <c r="J22" s="179"/>
    </row>
    <row r="23" spans="2:10" ht="15.75">
      <c r="B23" s="167" t="s">
        <v>166</v>
      </c>
      <c r="C23" s="204" t="s">
        <v>142</v>
      </c>
      <c r="D23" s="59">
        <v>0.4</v>
      </c>
      <c r="E23" s="177">
        <v>0.7</v>
      </c>
      <c r="F23" s="59">
        <v>0.85</v>
      </c>
      <c r="J23" s="177">
        <v>0.8</v>
      </c>
    </row>
    <row r="24" spans="4:10" ht="12.75">
      <c r="D24" s="242">
        <v>24.06</v>
      </c>
      <c r="E24" s="179">
        <v>16.1</v>
      </c>
      <c r="F24" s="242">
        <v>14.13</v>
      </c>
      <c r="G24" s="58"/>
      <c r="J24" s="179"/>
    </row>
    <row r="25" spans="2:10" ht="12.75">
      <c r="B25" s="23" t="s">
        <v>202</v>
      </c>
      <c r="C25" s="47" t="s">
        <v>201</v>
      </c>
      <c r="D25" s="59">
        <v>0.5</v>
      </c>
      <c r="E25" s="177">
        <v>1</v>
      </c>
      <c r="I25" s="59">
        <v>0.5</v>
      </c>
      <c r="J25" s="177">
        <v>1</v>
      </c>
    </row>
    <row r="26" spans="4:10" ht="12.75">
      <c r="D26" s="242">
        <v>20.9</v>
      </c>
      <c r="E26" s="179">
        <v>16.1</v>
      </c>
      <c r="I26" s="242">
        <v>10.69</v>
      </c>
      <c r="J26" s="179">
        <v>8.24</v>
      </c>
    </row>
    <row r="29" spans="2:4" ht="12.75">
      <c r="B29" t="s">
        <v>183</v>
      </c>
      <c r="C29">
        <f>1/0.453</f>
        <v>2.2075055187637966</v>
      </c>
      <c r="D29">
        <f>1/0.694</f>
        <v>1.4409221902017293</v>
      </c>
    </row>
    <row r="30" ht="12.75">
      <c r="L30" t="s">
        <v>180</v>
      </c>
    </row>
    <row r="31" spans="12:20" ht="12.75">
      <c r="L31" s="47" t="s">
        <v>133</v>
      </c>
      <c r="M31" s="47" t="s">
        <v>140</v>
      </c>
      <c r="N31" s="202" t="s">
        <v>138</v>
      </c>
      <c r="O31" s="47" t="s">
        <v>150</v>
      </c>
      <c r="P31" s="47" t="s">
        <v>130</v>
      </c>
      <c r="Q31" s="47" t="s">
        <v>133</v>
      </c>
      <c r="R31" s="47" t="s">
        <v>153</v>
      </c>
      <c r="S31" s="47" t="s">
        <v>154</v>
      </c>
      <c r="T31" s="47" t="s">
        <v>155</v>
      </c>
    </row>
    <row r="32" spans="12:20" ht="12.75">
      <c r="L32">
        <v>4</v>
      </c>
      <c r="M32" s="234">
        <v>1.021</v>
      </c>
      <c r="N32" s="234">
        <v>0.207</v>
      </c>
      <c r="O32" s="234">
        <v>0.85</v>
      </c>
      <c r="Q32">
        <v>4</v>
      </c>
      <c r="R32" s="234">
        <v>1.021</v>
      </c>
      <c r="S32" s="234">
        <f>5*N32</f>
        <v>1.035</v>
      </c>
      <c r="T32" s="234">
        <v>0.85</v>
      </c>
    </row>
    <row r="33" spans="12:20" ht="12.75">
      <c r="L33">
        <v>5</v>
      </c>
      <c r="M33" s="234">
        <v>1.038</v>
      </c>
      <c r="N33" s="234">
        <v>0.201</v>
      </c>
      <c r="O33" s="234">
        <v>0.879</v>
      </c>
      <c r="Q33">
        <v>5</v>
      </c>
      <c r="R33" s="234">
        <v>1.038</v>
      </c>
      <c r="S33" s="234">
        <f aca="true" t="shared" si="0" ref="S33:S59">5*N33</f>
        <v>1.0050000000000001</v>
      </c>
      <c r="T33" s="234">
        <v>0.879</v>
      </c>
    </row>
    <row r="34" spans="12:20" ht="12.75">
      <c r="L34">
        <v>6</v>
      </c>
      <c r="M34" s="234">
        <v>1.048</v>
      </c>
      <c r="N34" s="234">
        <v>0.195</v>
      </c>
      <c r="O34" s="234">
        <v>0.9</v>
      </c>
      <c r="Q34">
        <v>6</v>
      </c>
      <c r="R34" s="234">
        <v>1.048</v>
      </c>
      <c r="S34" s="234">
        <f t="shared" si="0"/>
        <v>0.9750000000000001</v>
      </c>
      <c r="T34" s="234">
        <v>0.9</v>
      </c>
    </row>
    <row r="35" spans="12:20" ht="12.75">
      <c r="L35">
        <v>7</v>
      </c>
      <c r="M35" s="234">
        <v>1.0551016049150117</v>
      </c>
      <c r="N35" s="234">
        <v>0.19045684885791586</v>
      </c>
      <c r="O35" s="234">
        <v>0.9131909692390814</v>
      </c>
      <c r="Q35">
        <v>7</v>
      </c>
      <c r="R35" s="234">
        <v>1.0551016049150117</v>
      </c>
      <c r="S35" s="234">
        <f t="shared" si="0"/>
        <v>0.9522842442895794</v>
      </c>
      <c r="T35" s="234">
        <v>0.9131909692390814</v>
      </c>
    </row>
    <row r="36" spans="12:20" ht="12.75">
      <c r="L36">
        <v>8</v>
      </c>
      <c r="M36" s="234">
        <v>1.05963056990616</v>
      </c>
      <c r="N36" s="234">
        <v>0.1860803134003582</v>
      </c>
      <c r="O36" s="234">
        <v>0.9239071368192248</v>
      </c>
      <c r="Q36">
        <v>8</v>
      </c>
      <c r="R36" s="234">
        <v>1.05963056990616</v>
      </c>
      <c r="S36" s="234">
        <f t="shared" si="0"/>
        <v>0.9304015670017909</v>
      </c>
      <c r="T36" s="234">
        <v>0.9239071368192248</v>
      </c>
    </row>
    <row r="37" spans="12:20" ht="12.75">
      <c r="L37">
        <v>9</v>
      </c>
      <c r="M37" s="234">
        <v>1.0627227084205793</v>
      </c>
      <c r="N37" s="234">
        <v>0.18211464711601708</v>
      </c>
      <c r="O37" s="234">
        <v>0.9322690393545134</v>
      </c>
      <c r="Q37">
        <v>9</v>
      </c>
      <c r="R37" s="234">
        <v>1.0627227084205793</v>
      </c>
      <c r="S37" s="234">
        <f t="shared" si="0"/>
        <v>0.9105732355800854</v>
      </c>
      <c r="T37" s="234">
        <v>0.9322690393545134</v>
      </c>
    </row>
    <row r="38" spans="12:20" ht="12.75">
      <c r="L38">
        <v>10</v>
      </c>
      <c r="M38" s="234">
        <v>1.0648422434048408</v>
      </c>
      <c r="N38" s="234">
        <v>0.178482447766193</v>
      </c>
      <c r="O38" s="234">
        <v>0.9389755277736547</v>
      </c>
      <c r="Q38">
        <v>10</v>
      </c>
      <c r="R38" s="234">
        <v>1.0648422434048408</v>
      </c>
      <c r="S38" s="234">
        <f t="shared" si="0"/>
        <v>0.892412238830965</v>
      </c>
      <c r="T38" s="234">
        <v>0.9389755277736547</v>
      </c>
    </row>
    <row r="39" spans="12:20" ht="12.75">
      <c r="L39">
        <v>11</v>
      </c>
      <c r="M39" s="234">
        <v>1.0662794503832862</v>
      </c>
      <c r="N39" s="234">
        <v>0.17512652815966323</v>
      </c>
      <c r="O39" s="234">
        <v>0.9444738146506996</v>
      </c>
      <c r="Q39">
        <v>11</v>
      </c>
      <c r="R39" s="234">
        <v>1.0662794503832862</v>
      </c>
      <c r="S39" s="234">
        <f t="shared" si="0"/>
        <v>0.8756326407983162</v>
      </c>
      <c r="T39" s="234">
        <v>0.9444738146506996</v>
      </c>
    </row>
    <row r="40" spans="12:20" ht="12.75">
      <c r="L40">
        <v>12</v>
      </c>
      <c r="M40" s="234">
        <v>1.067224188412398</v>
      </c>
      <c r="N40" s="234">
        <v>0.17200341856194482</v>
      </c>
      <c r="O40" s="234">
        <v>0.9490633608815428</v>
      </c>
      <c r="Q40">
        <v>12</v>
      </c>
      <c r="R40" s="234">
        <v>1.067224188412398</v>
      </c>
      <c r="S40" s="234">
        <f t="shared" si="0"/>
        <v>0.860017092809724</v>
      </c>
      <c r="T40" s="234">
        <v>0.9490633608815428</v>
      </c>
    </row>
    <row r="41" spans="12:20" ht="12.75">
      <c r="L41">
        <v>13</v>
      </c>
      <c r="M41" s="234">
        <v>1.0678052458662222</v>
      </c>
      <c r="N41" s="234">
        <v>0.16907928621993482</v>
      </c>
      <c r="O41" s="234">
        <v>0.9529522295060862</v>
      </c>
      <c r="Q41">
        <v>13</v>
      </c>
      <c r="R41" s="234">
        <v>1.0678052458662222</v>
      </c>
      <c r="S41" s="234">
        <f t="shared" si="0"/>
        <v>0.8453964310996741</v>
      </c>
      <c r="T41" s="234">
        <v>0.9529522295060862</v>
      </c>
    </row>
    <row r="42" spans="12:20" ht="12.75">
      <c r="L42">
        <v>14</v>
      </c>
      <c r="M42" s="234">
        <v>1.0681126530922977</v>
      </c>
      <c r="N42" s="234">
        <v>0.1663272687842774</v>
      </c>
      <c r="O42" s="234">
        <v>0.9562894784397316</v>
      </c>
      <c r="Q42">
        <v>14</v>
      </c>
      <c r="R42" s="234">
        <v>1.0681126530922977</v>
      </c>
      <c r="S42" s="234">
        <f t="shared" si="0"/>
        <v>0.831636343921387</v>
      </c>
      <c r="T42" s="234">
        <v>0.9562894784397316</v>
      </c>
    </row>
    <row r="43" spans="12:20" ht="12.75">
      <c r="L43">
        <v>15</v>
      </c>
      <c r="M43" s="234">
        <v>1.0682109547366767</v>
      </c>
      <c r="N43" s="234">
        <v>0.16372567195736196</v>
      </c>
      <c r="O43" s="234">
        <v>0.9591846901351693</v>
      </c>
      <c r="Q43">
        <v>15</v>
      </c>
      <c r="R43" s="234">
        <v>1.0682109547366767</v>
      </c>
      <c r="S43" s="234">
        <f t="shared" si="0"/>
        <v>0.8186283597868098</v>
      </c>
      <c r="T43" s="234">
        <v>0.9591846901351693</v>
      </c>
    </row>
    <row r="44" spans="12:20" ht="12.75">
      <c r="L44">
        <v>16</v>
      </c>
      <c r="M44" s="234">
        <v>1.0681474267541533</v>
      </c>
      <c r="N44" s="234">
        <v>0.16125671560378013</v>
      </c>
      <c r="O44" s="234">
        <v>0.9617202268431002</v>
      </c>
      <c r="Q44">
        <v>16</v>
      </c>
      <c r="R44" s="234">
        <v>1.0681474267541533</v>
      </c>
      <c r="S44" s="234">
        <f t="shared" si="0"/>
        <v>0.8062835780189006</v>
      </c>
      <c r="T44" s="234">
        <v>0.9617202268431002</v>
      </c>
    </row>
    <row r="45" spans="12:20" ht="12.75">
      <c r="L45">
        <v>17</v>
      </c>
      <c r="M45" s="234">
        <v>1.0679573395762112</v>
      </c>
      <c r="N45" s="234">
        <v>0.15890563938097088</v>
      </c>
      <c r="O45" s="234">
        <v>0.9639591875701378</v>
      </c>
      <c r="Q45">
        <v>17</v>
      </c>
      <c r="R45" s="234">
        <v>1.0679573395762112</v>
      </c>
      <c r="S45" s="234">
        <f t="shared" si="0"/>
        <v>0.7945281969048544</v>
      </c>
      <c r="T45" s="234">
        <v>0.9639591875701378</v>
      </c>
    </row>
    <row r="46" spans="12:20" ht="12.75">
      <c r="L46">
        <v>18</v>
      </c>
      <c r="M46" s="234">
        <v>1.0676674294004338</v>
      </c>
      <c r="N46" s="234">
        <v>0.15666005076276154</v>
      </c>
      <c r="O46" s="234">
        <v>0.9659507282662769</v>
      </c>
      <c r="Q46">
        <v>18</v>
      </c>
      <c r="R46" s="234">
        <v>1.0676674294004338</v>
      </c>
      <c r="S46" s="234">
        <f t="shared" si="0"/>
        <v>0.7833002538138077</v>
      </c>
      <c r="T46" s="234">
        <v>0.9659507282662769</v>
      </c>
    </row>
    <row r="47" spans="12:20" ht="12.75">
      <c r="L47">
        <v>19</v>
      </c>
      <c r="M47" s="234">
        <v>1.0672982466926633</v>
      </c>
      <c r="N47" s="234">
        <v>0.1545094405681143</v>
      </c>
      <c r="O47" s="234">
        <v>0.9677337112139851</v>
      </c>
      <c r="Q47">
        <v>19</v>
      </c>
      <c r="R47" s="234">
        <v>1.0672982466926633</v>
      </c>
      <c r="S47" s="234">
        <f t="shared" si="0"/>
        <v>0.7725472028405715</v>
      </c>
      <c r="T47" s="234">
        <v>0.9677337112139851</v>
      </c>
    </row>
    <row r="48" spans="12:20" ht="12.75">
      <c r="L48">
        <v>20</v>
      </c>
      <c r="M48" s="234">
        <v>1.0668657809759</v>
      </c>
      <c r="N48" s="234">
        <v>0.15244481679346533</v>
      </c>
      <c r="O48" s="234">
        <v>0.9693392652961355</v>
      </c>
      <c r="Q48">
        <v>20</v>
      </c>
      <c r="R48" s="234">
        <v>1.0668657809759</v>
      </c>
      <c r="S48" s="234">
        <f t="shared" si="0"/>
        <v>0.7622240839673267</v>
      </c>
      <c r="T48" s="234">
        <v>0.9693392652961355</v>
      </c>
    </row>
    <row r="49" spans="12:20" ht="12.75">
      <c r="L49">
        <v>22</v>
      </c>
      <c r="M49" s="234">
        <v>1.0658587100561625</v>
      </c>
      <c r="N49" s="234">
        <v>0.14854352291985987</v>
      </c>
      <c r="O49" s="234">
        <v>0.9721144321959678</v>
      </c>
      <c r="Q49">
        <v>22</v>
      </c>
      <c r="R49" s="234">
        <v>1.0658587100561625</v>
      </c>
      <c r="S49" s="234">
        <f t="shared" si="0"/>
        <v>0.7427176145992993</v>
      </c>
      <c r="T49" s="234">
        <v>0.9721144321959678</v>
      </c>
    </row>
    <row r="50" spans="12:20" ht="12.75">
      <c r="L50">
        <v>24</v>
      </c>
      <c r="M50" s="234">
        <v>1.0647191748889657</v>
      </c>
      <c r="N50" s="234">
        <v>0.14490533671796232</v>
      </c>
      <c r="O50" s="234">
        <v>0.9744289425554006</v>
      </c>
      <c r="Q50">
        <v>24</v>
      </c>
      <c r="R50" s="234">
        <v>1.0647191748889657</v>
      </c>
      <c r="S50" s="234">
        <f t="shared" si="0"/>
        <v>0.7245266835898116</v>
      </c>
      <c r="T50" s="234">
        <v>0.9744289425554006</v>
      </c>
    </row>
    <row r="51" spans="12:20" ht="12.75">
      <c r="L51">
        <v>26</v>
      </c>
      <c r="M51" s="234">
        <v>1.0634945013918273</v>
      </c>
      <c r="N51" s="234">
        <v>0.14149097793515447</v>
      </c>
      <c r="O51" s="234">
        <v>0.9763887008269811</v>
      </c>
      <c r="Q51">
        <v>26</v>
      </c>
      <c r="R51" s="234">
        <v>1.0634945013918273</v>
      </c>
      <c r="S51" s="234">
        <f t="shared" si="0"/>
        <v>0.7074548896757724</v>
      </c>
      <c r="T51" s="234">
        <v>0.9763887008269811</v>
      </c>
    </row>
    <row r="52" spans="12:20" ht="12.75">
      <c r="L52">
        <v>28</v>
      </c>
      <c r="M52" s="234">
        <v>1.0622161886610721</v>
      </c>
      <c r="N52" s="234">
        <v>0.1382694365403236</v>
      </c>
      <c r="O52" s="234">
        <v>0.9780694599768007</v>
      </c>
      <c r="Q52">
        <v>28</v>
      </c>
      <c r="R52" s="234">
        <v>1.0622161886610721</v>
      </c>
      <c r="S52" s="234">
        <f t="shared" si="0"/>
        <v>0.691347182701618</v>
      </c>
      <c r="T52" s="234">
        <v>0.9780694599768007</v>
      </c>
    </row>
    <row r="53" spans="12:20" ht="12.75">
      <c r="L53">
        <v>30</v>
      </c>
      <c r="M53" s="234">
        <v>1.0609056248319968</v>
      </c>
      <c r="N53" s="234">
        <v>0.13521578340210136</v>
      </c>
      <c r="O53" s="234">
        <v>0.97952683854801</v>
      </c>
      <c r="Q53">
        <v>30</v>
      </c>
      <c r="R53" s="234">
        <v>1.0609056248319968</v>
      </c>
      <c r="S53" s="234">
        <f t="shared" si="0"/>
        <v>0.6760789170105068</v>
      </c>
      <c r="T53" s="234">
        <v>0.97952683854801</v>
      </c>
    </row>
    <row r="54" spans="12:20" ht="12.75">
      <c r="L54">
        <v>35</v>
      </c>
      <c r="M54" s="234">
        <v>1.0575742188002302</v>
      </c>
      <c r="N54" s="234">
        <v>0.12819102063648288</v>
      </c>
      <c r="O54" s="234">
        <v>0.9824436002324524</v>
      </c>
      <c r="Q54">
        <v>35</v>
      </c>
      <c r="R54" s="234">
        <v>1.0575742188002302</v>
      </c>
      <c r="S54" s="234">
        <f t="shared" si="0"/>
        <v>0.6409551031824144</v>
      </c>
      <c r="T54" s="234">
        <v>0.9824436002324524</v>
      </c>
    </row>
    <row r="55" spans="12:20" ht="12.75">
      <c r="L55">
        <v>40</v>
      </c>
      <c r="M55" s="234">
        <v>1.0542548071125564</v>
      </c>
      <c r="N55" s="234">
        <v>0.12186136615986448</v>
      </c>
      <c r="O55" s="234">
        <v>0.984632922670722</v>
      </c>
      <c r="Q55">
        <v>40</v>
      </c>
      <c r="R55" s="234">
        <v>1.0542548071125564</v>
      </c>
      <c r="S55" s="234">
        <f t="shared" si="0"/>
        <v>0.6093068307993224</v>
      </c>
      <c r="T55" s="234">
        <v>0.984632922670722</v>
      </c>
    </row>
    <row r="56" spans="12:20" ht="12.75">
      <c r="L56">
        <v>50</v>
      </c>
      <c r="M56" s="234">
        <v>1.047836535826302</v>
      </c>
      <c r="N56" s="234">
        <v>0.11070808640596083</v>
      </c>
      <c r="O56" s="234">
        <v>0.9877004907712393</v>
      </c>
      <c r="Q56">
        <v>50</v>
      </c>
      <c r="R56" s="234">
        <v>1.047836535826302</v>
      </c>
      <c r="S56" s="234">
        <f t="shared" si="0"/>
        <v>0.5535404320298042</v>
      </c>
      <c r="T56" s="234">
        <v>0.9877004907712393</v>
      </c>
    </row>
    <row r="57" spans="12:20" ht="12.75">
      <c r="L57">
        <v>60</v>
      </c>
      <c r="M57" s="234">
        <v>1.041781671681778</v>
      </c>
      <c r="N57" s="234">
        <v>0.10097213279863061</v>
      </c>
      <c r="O57" s="234">
        <v>0.989747164468168</v>
      </c>
      <c r="Q57">
        <v>60</v>
      </c>
      <c r="R57" s="234">
        <v>1.041781671681778</v>
      </c>
      <c r="S57" s="234">
        <f t="shared" si="0"/>
        <v>0.5048606639931531</v>
      </c>
      <c r="T57" s="234">
        <v>0.989747164468168</v>
      </c>
    </row>
    <row r="58" spans="12:20" ht="12.75">
      <c r="L58">
        <v>70</v>
      </c>
      <c r="M58" s="234">
        <v>1.0360683154970858</v>
      </c>
      <c r="N58" s="234">
        <v>0.09221778374999501</v>
      </c>
      <c r="O58" s="234">
        <v>0.9912098705136537</v>
      </c>
      <c r="Q58">
        <v>70</v>
      </c>
      <c r="R58" s="234">
        <v>1.0360683154970858</v>
      </c>
      <c r="S58" s="234">
        <f t="shared" si="0"/>
        <v>0.46108891874997504</v>
      </c>
      <c r="T58" s="234">
        <v>0.9912098705136537</v>
      </c>
    </row>
    <row r="59" spans="12:20" ht="12.75">
      <c r="L59">
        <v>80</v>
      </c>
      <c r="M59" s="234">
        <v>1.0306443699300565</v>
      </c>
      <c r="N59" s="234">
        <v>0.08417439478561999</v>
      </c>
      <c r="O59" s="234">
        <v>0.9923073350178359</v>
      </c>
      <c r="Q59">
        <v>80</v>
      </c>
      <c r="R59" s="234">
        <v>1.0306443699300565</v>
      </c>
      <c r="S59" s="234">
        <f t="shared" si="0"/>
        <v>0.42087197392809994</v>
      </c>
      <c r="T59" s="234">
        <v>0.9923073350178359</v>
      </c>
    </row>
    <row r="60" spans="13:15" ht="12.75">
      <c r="M60" s="234">
        <f>CloneNumber!E$27</f>
        <v>1.1108242318498496</v>
      </c>
      <c r="N60" s="234">
        <f>CloneNumber!E$25</f>
        <v>0.22765988169978743</v>
      </c>
      <c r="O60" s="234">
        <f>CloneNumber!I$15</f>
        <v>0.9279431442083171</v>
      </c>
    </row>
  </sheetData>
  <printOptions/>
  <pageMargins left="0.75" right="0.75" top="1" bottom="1" header="0.5" footer="0.5"/>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sheetPr codeName="Sheet3"/>
  <dimension ref="A2:R83"/>
  <sheetViews>
    <sheetView workbookViewId="0" topLeftCell="A1">
      <selection activeCell="A2" sqref="A2"/>
    </sheetView>
  </sheetViews>
  <sheetFormatPr defaultColWidth="9.140625" defaultRowHeight="12.75"/>
  <cols>
    <col min="8" max="8" width="9.421875" style="0" customWidth="1"/>
    <col min="9" max="9" width="11.00390625" style="0" customWidth="1"/>
    <col min="18" max="18" width="9.7109375" style="0" customWidth="1"/>
  </cols>
  <sheetData>
    <row r="2" spans="1:12" ht="13.5" thickBot="1">
      <c r="A2" s="153" t="s">
        <v>89</v>
      </c>
      <c r="B2" s="154" t="s">
        <v>90</v>
      </c>
      <c r="C2" s="154" t="s">
        <v>271</v>
      </c>
      <c r="D2" s="155" t="s">
        <v>91</v>
      </c>
      <c r="E2" s="155"/>
      <c r="F2" s="155" t="s">
        <v>92</v>
      </c>
      <c r="G2" s="155" t="s">
        <v>93</v>
      </c>
      <c r="H2" s="154" t="s">
        <v>94</v>
      </c>
      <c r="K2" s="165" t="s">
        <v>95</v>
      </c>
      <c r="L2" s="9" t="s">
        <v>199</v>
      </c>
    </row>
    <row r="3" spans="1:16" ht="13.5" customHeight="1" thickTop="1">
      <c r="A3" s="155" t="s">
        <v>96</v>
      </c>
      <c r="B3" s="154" t="s">
        <v>97</v>
      </c>
      <c r="C3" s="155"/>
      <c r="D3" s="154" t="s">
        <v>98</v>
      </c>
      <c r="E3" s="154"/>
      <c r="F3" s="154" t="s">
        <v>99</v>
      </c>
      <c r="G3" s="166" t="s">
        <v>103</v>
      </c>
      <c r="I3" s="481" t="s">
        <v>100</v>
      </c>
      <c r="J3" s="156" t="s">
        <v>101</v>
      </c>
      <c r="K3" s="157"/>
      <c r="L3" s="157"/>
      <c r="M3" s="158"/>
      <c r="N3" s="158"/>
      <c r="O3" s="158"/>
      <c r="P3" s="159"/>
    </row>
    <row r="4" spans="3:16" ht="13.5" thickBot="1">
      <c r="C4" s="165" t="s">
        <v>272</v>
      </c>
      <c r="I4" s="482"/>
      <c r="J4" s="160"/>
      <c r="K4" s="161" t="s">
        <v>102</v>
      </c>
      <c r="L4" s="162" t="s">
        <v>2</v>
      </c>
      <c r="M4" s="217" t="s">
        <v>2</v>
      </c>
      <c r="N4" s="163" t="s">
        <v>3</v>
      </c>
      <c r="O4" s="214" t="s">
        <v>3</v>
      </c>
      <c r="P4" s="164"/>
    </row>
    <row r="5" ht="13.5" thickTop="1"/>
    <row r="7" ht="12.75" customHeight="1"/>
    <row r="10" ht="12.75">
      <c r="C10" s="11"/>
    </row>
    <row r="26" ht="15" customHeight="1"/>
    <row r="33" ht="11.25" customHeight="1"/>
    <row r="35" ht="15" customHeight="1"/>
    <row r="51" ht="19.5" customHeight="1">
      <c r="A51" s="59"/>
    </row>
    <row r="58" spans="1:18" ht="12.75">
      <c r="A58" s="12" t="s">
        <v>21</v>
      </c>
      <c r="J58" s="139"/>
      <c r="K58" s="40"/>
      <c r="L58" s="40"/>
      <c r="M58" s="40"/>
      <c r="N58" s="40"/>
      <c r="O58" s="40"/>
      <c r="P58" s="40"/>
      <c r="Q58" s="40"/>
      <c r="R58" s="40"/>
    </row>
    <row r="59" spans="1:18" ht="12.75">
      <c r="A59" s="51" t="s">
        <v>83</v>
      </c>
      <c r="B59" s="56" t="s">
        <v>35</v>
      </c>
      <c r="J59" s="140"/>
      <c r="K59" s="40"/>
      <c r="L59" s="40"/>
      <c r="M59" s="40"/>
      <c r="N59" s="40"/>
      <c r="O59" s="40"/>
      <c r="P59" s="40"/>
      <c r="Q59" s="40"/>
      <c r="R59" s="40"/>
    </row>
    <row r="60" spans="1:18" ht="12.75">
      <c r="A60" s="51" t="s">
        <v>75</v>
      </c>
      <c r="B60" t="s">
        <v>74</v>
      </c>
      <c r="J60" s="40"/>
      <c r="K60" s="40"/>
      <c r="L60" s="40"/>
      <c r="M60" s="40"/>
      <c r="N60" s="40"/>
      <c r="O60" s="40"/>
      <c r="P60" s="40"/>
      <c r="Q60" s="40"/>
      <c r="R60" s="40"/>
    </row>
    <row r="61" spans="1:18" ht="12.75">
      <c r="A61" s="23"/>
      <c r="B61" t="s">
        <v>76</v>
      </c>
      <c r="J61" s="40"/>
      <c r="K61" s="40"/>
      <c r="L61" s="40"/>
      <c r="M61" s="40"/>
      <c r="N61" s="40"/>
      <c r="O61" s="40"/>
      <c r="P61" s="40"/>
      <c r="Q61" s="40"/>
      <c r="R61" s="40"/>
    </row>
    <row r="62" spans="1:18" ht="15.75">
      <c r="A62" s="54" t="s">
        <v>31</v>
      </c>
      <c r="B62" t="s">
        <v>77</v>
      </c>
      <c r="J62" s="40"/>
      <c r="K62" s="40"/>
      <c r="L62" s="40"/>
      <c r="M62" s="40"/>
      <c r="N62" s="40"/>
      <c r="O62" s="40"/>
      <c r="P62" s="40"/>
      <c r="Q62" s="40"/>
      <c r="R62" s="40"/>
    </row>
    <row r="63" spans="1:18" ht="12.75">
      <c r="A63" s="51" t="s">
        <v>40</v>
      </c>
      <c r="B63" t="s">
        <v>30</v>
      </c>
      <c r="J63" s="140"/>
      <c r="K63" s="40"/>
      <c r="L63" s="40"/>
      <c r="M63" s="40"/>
      <c r="N63" s="40"/>
      <c r="O63" s="40"/>
      <c r="P63" s="40"/>
      <c r="Q63" s="40"/>
      <c r="R63" s="40"/>
    </row>
    <row r="64" spans="1:18" ht="15.75">
      <c r="A64" s="51" t="s">
        <v>39</v>
      </c>
      <c r="B64" t="s">
        <v>36</v>
      </c>
      <c r="J64" s="141"/>
      <c r="K64" s="40"/>
      <c r="L64" s="40"/>
      <c r="M64" s="40"/>
      <c r="N64" s="40"/>
      <c r="O64" s="40"/>
      <c r="P64" s="40"/>
      <c r="Q64" s="40"/>
      <c r="R64" s="40"/>
    </row>
    <row r="65" spans="1:18" ht="15.75">
      <c r="A65" s="51" t="s">
        <v>41</v>
      </c>
      <c r="B65" t="s">
        <v>32</v>
      </c>
      <c r="J65" s="141"/>
      <c r="K65" s="40"/>
      <c r="L65" s="40"/>
      <c r="M65" s="40"/>
      <c r="N65" s="40"/>
      <c r="O65" s="40"/>
      <c r="P65" s="40"/>
      <c r="Q65" s="40"/>
      <c r="R65" s="40"/>
    </row>
    <row r="66" spans="2:18" ht="12.75">
      <c r="B66" t="s">
        <v>29</v>
      </c>
      <c r="J66" s="141"/>
      <c r="K66" s="40"/>
      <c r="L66" s="40"/>
      <c r="M66" s="40"/>
      <c r="N66" s="40"/>
      <c r="O66" s="40"/>
      <c r="P66" s="40"/>
      <c r="Q66" s="40"/>
      <c r="R66" s="40"/>
    </row>
    <row r="67" spans="1:18" ht="12.75">
      <c r="A67" s="3"/>
      <c r="J67" s="140"/>
      <c r="K67" s="40"/>
      <c r="L67" s="40"/>
      <c r="M67" s="40"/>
      <c r="N67" s="40"/>
      <c r="O67" s="40"/>
      <c r="P67" s="40"/>
      <c r="Q67" s="40"/>
      <c r="R67" s="40"/>
    </row>
    <row r="68" spans="1:18" ht="12.75">
      <c r="A68" s="51" t="s">
        <v>42</v>
      </c>
      <c r="B68" t="s">
        <v>78</v>
      </c>
      <c r="J68" s="141"/>
      <c r="K68" s="40"/>
      <c r="L68" s="40"/>
      <c r="M68" s="40"/>
      <c r="N68" s="40"/>
      <c r="O68" s="40"/>
      <c r="P68" s="40"/>
      <c r="Q68" s="40"/>
      <c r="R68" s="40"/>
    </row>
    <row r="69" spans="2:18" ht="12.75">
      <c r="B69" t="s">
        <v>79</v>
      </c>
      <c r="J69" s="141"/>
      <c r="K69" s="40"/>
      <c r="L69" s="40"/>
      <c r="M69" s="40"/>
      <c r="N69" s="40"/>
      <c r="O69" s="40"/>
      <c r="P69" s="40"/>
      <c r="Q69" s="40"/>
      <c r="R69" s="40"/>
    </row>
    <row r="70" spans="1:18" ht="12.75">
      <c r="A70" s="35" t="s">
        <v>22</v>
      </c>
      <c r="B70" t="s">
        <v>23</v>
      </c>
      <c r="J70" s="141"/>
      <c r="K70" s="40"/>
      <c r="L70" s="40"/>
      <c r="M70" s="40"/>
      <c r="N70" s="40"/>
      <c r="O70" s="40"/>
      <c r="P70" s="40"/>
      <c r="Q70" s="40"/>
      <c r="R70" s="40"/>
    </row>
    <row r="71" spans="1:18" ht="15.75">
      <c r="A71" s="51" t="s">
        <v>191</v>
      </c>
      <c r="B71" t="s">
        <v>81</v>
      </c>
      <c r="J71" s="140"/>
      <c r="K71" s="40"/>
      <c r="L71" s="40"/>
      <c r="M71" s="40"/>
      <c r="N71" s="40"/>
      <c r="O71" s="40"/>
      <c r="P71" s="40"/>
      <c r="Q71" s="40"/>
      <c r="R71" s="40"/>
    </row>
    <row r="72" spans="1:18" ht="15.75">
      <c r="A72" s="51" t="s">
        <v>190</v>
      </c>
      <c r="B72" t="s">
        <v>80</v>
      </c>
      <c r="J72" s="141"/>
      <c r="K72" s="40"/>
      <c r="L72" s="40"/>
      <c r="M72" s="40"/>
      <c r="N72" s="40"/>
      <c r="O72" s="40"/>
      <c r="P72" s="40"/>
      <c r="Q72" s="40"/>
      <c r="R72" s="40"/>
    </row>
    <row r="73" spans="1:18" ht="15.75">
      <c r="A73" s="51" t="s">
        <v>43</v>
      </c>
      <c r="B73" t="s">
        <v>82</v>
      </c>
      <c r="J73" s="141"/>
      <c r="K73" s="40"/>
      <c r="L73" s="40"/>
      <c r="M73" s="40"/>
      <c r="N73" s="40"/>
      <c r="O73" s="40"/>
      <c r="P73" s="40"/>
      <c r="Q73" s="40"/>
      <c r="R73" s="40"/>
    </row>
    <row r="74" spans="1:18" ht="15.75">
      <c r="A74" s="51" t="s">
        <v>194</v>
      </c>
      <c r="B74" t="s">
        <v>192</v>
      </c>
      <c r="J74" s="141"/>
      <c r="K74" s="40"/>
      <c r="L74" s="40"/>
      <c r="M74" s="40"/>
      <c r="N74" s="40"/>
      <c r="O74" s="40"/>
      <c r="P74" s="40"/>
      <c r="Q74" s="40"/>
      <c r="R74" s="40"/>
    </row>
    <row r="75" spans="1:18" ht="15" customHeight="1">
      <c r="A75" s="51" t="s">
        <v>193</v>
      </c>
      <c r="B75" t="s">
        <v>69</v>
      </c>
      <c r="J75" s="140"/>
      <c r="K75" s="40"/>
      <c r="L75" s="40"/>
      <c r="M75" s="40"/>
      <c r="N75" s="40"/>
      <c r="O75" s="40"/>
      <c r="P75" s="40"/>
      <c r="Q75" s="40"/>
      <c r="R75" s="40"/>
    </row>
    <row r="76" spans="1:18" ht="15" customHeight="1">
      <c r="A76" s="51" t="s">
        <v>70</v>
      </c>
      <c r="B76" t="s">
        <v>71</v>
      </c>
      <c r="J76" s="140"/>
      <c r="K76" s="40"/>
      <c r="L76" s="40"/>
      <c r="M76" s="40"/>
      <c r="N76" s="40"/>
      <c r="O76" s="40"/>
      <c r="P76" s="40"/>
      <c r="Q76" s="40"/>
      <c r="R76" s="40"/>
    </row>
    <row r="77" spans="1:18" ht="15" customHeight="1">
      <c r="A77" s="243" t="s">
        <v>175</v>
      </c>
      <c r="B77" t="s">
        <v>85</v>
      </c>
      <c r="J77" s="140"/>
      <c r="K77" s="40"/>
      <c r="L77" s="40"/>
      <c r="M77" s="40"/>
      <c r="N77" s="40"/>
      <c r="O77" s="40"/>
      <c r="P77" s="40"/>
      <c r="Q77" s="40"/>
      <c r="R77" s="40"/>
    </row>
    <row r="78" spans="1:18" ht="15" customHeight="1">
      <c r="A78" s="243" t="s">
        <v>195</v>
      </c>
      <c r="B78" t="s">
        <v>73</v>
      </c>
      <c r="J78" s="140"/>
      <c r="K78" s="40"/>
      <c r="L78" s="40"/>
      <c r="M78" s="40"/>
      <c r="N78" s="40"/>
      <c r="O78" s="40"/>
      <c r="P78" s="40"/>
      <c r="Q78" s="40"/>
      <c r="R78" s="40"/>
    </row>
    <row r="79" spans="1:18" ht="14.25" customHeight="1">
      <c r="A79" s="243" t="s">
        <v>196</v>
      </c>
      <c r="B79" t="s">
        <v>72</v>
      </c>
      <c r="J79" s="40"/>
      <c r="K79" s="40"/>
      <c r="L79" s="40"/>
      <c r="M79" s="40"/>
      <c r="N79" s="40"/>
      <c r="O79" s="40"/>
      <c r="P79" s="40"/>
      <c r="Q79" s="40"/>
      <c r="R79" s="40"/>
    </row>
    <row r="80" spans="1:18" ht="14.25" customHeight="1">
      <c r="A80" s="51" t="s">
        <v>27</v>
      </c>
      <c r="B80" t="s">
        <v>28</v>
      </c>
      <c r="J80" s="40"/>
      <c r="K80" s="40"/>
      <c r="L80" s="40"/>
      <c r="M80" s="40"/>
      <c r="N80" s="40"/>
      <c r="O80" s="40"/>
      <c r="P80" s="40"/>
      <c r="Q80" s="40"/>
      <c r="R80" s="40"/>
    </row>
    <row r="81" spans="1:18" ht="12.75">
      <c r="A81" s="51" t="s">
        <v>37</v>
      </c>
      <c r="B81" t="s">
        <v>38</v>
      </c>
      <c r="J81" s="40"/>
      <c r="K81" s="40"/>
      <c r="L81" s="40"/>
      <c r="M81" s="40"/>
      <c r="N81" s="40"/>
      <c r="O81" s="40"/>
      <c r="P81" s="40"/>
      <c r="Q81" s="40"/>
      <c r="R81" s="40"/>
    </row>
    <row r="82" spans="10:18" ht="12.75">
      <c r="J82" s="40"/>
      <c r="K82" s="40"/>
      <c r="L82" s="40"/>
      <c r="M82" s="40"/>
      <c r="N82" s="40"/>
      <c r="O82" s="40"/>
      <c r="P82" s="40"/>
      <c r="Q82" s="40"/>
      <c r="R82" s="40"/>
    </row>
    <row r="83" spans="10:18" ht="12.75">
      <c r="J83" s="40"/>
      <c r="K83" s="40"/>
      <c r="L83" s="40"/>
      <c r="M83" s="40"/>
      <c r="N83" s="40"/>
      <c r="O83" s="40"/>
      <c r="P83" s="40"/>
      <c r="Q83" s="40"/>
      <c r="R83" s="40"/>
    </row>
  </sheetData>
  <mergeCells count="1">
    <mergeCell ref="I3:I4"/>
  </mergeCells>
  <printOptions/>
  <pageMargins left="0.75" right="0.75" top="1" bottom="1" header="0.5" footer="0.5"/>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31"/>
  <dimension ref="A1:R35"/>
  <sheetViews>
    <sheetView zoomScale="90" zoomScaleNormal="90" workbookViewId="0" topLeftCell="A1">
      <selection activeCell="D1" sqref="D1"/>
    </sheetView>
  </sheetViews>
  <sheetFormatPr defaultColWidth="9.140625" defaultRowHeight="12.75"/>
  <cols>
    <col min="1" max="1" width="39.8515625" style="1" customWidth="1"/>
    <col min="2" max="10" width="7.7109375" style="1" customWidth="1"/>
    <col min="11" max="11" width="13.8515625" style="1" customWidth="1"/>
    <col min="12" max="12" width="6.00390625" style="1" customWidth="1"/>
    <col min="13" max="14" width="6.140625" style="1" customWidth="1"/>
    <col min="15" max="18" width="6.7109375" style="1" customWidth="1"/>
  </cols>
  <sheetData>
    <row r="1" spans="1:14" ht="25.5" customHeight="1">
      <c r="A1" s="8" t="s">
        <v>44</v>
      </c>
      <c r="B1" s="9"/>
      <c r="C1" s="9"/>
      <c r="D1" s="9"/>
      <c r="E1" s="9"/>
      <c r="F1" s="10"/>
      <c r="G1" s="9"/>
      <c r="H1" s="9" t="s">
        <v>53</v>
      </c>
      <c r="I1" s="10"/>
      <c r="J1" s="10"/>
      <c r="K1"/>
      <c r="L1" s="9"/>
      <c r="M1"/>
      <c r="N1"/>
    </row>
    <row r="2" spans="1:14" ht="28.5" customHeight="1" thickBot="1">
      <c r="A2" s="7"/>
      <c r="G2"/>
      <c r="H2"/>
      <c r="K2" t="s">
        <v>45</v>
      </c>
      <c r="L2"/>
      <c r="M2"/>
      <c r="N2"/>
    </row>
    <row r="3" spans="1:10" ht="19.5" customHeight="1">
      <c r="A3" s="71" t="s">
        <v>46</v>
      </c>
      <c r="B3" s="72">
        <v>50</v>
      </c>
      <c r="C3" s="73">
        <v>50</v>
      </c>
      <c r="D3" s="73">
        <v>50</v>
      </c>
      <c r="E3" s="73">
        <v>50</v>
      </c>
      <c r="F3" s="73">
        <v>50</v>
      </c>
      <c r="G3" s="73">
        <v>50</v>
      </c>
      <c r="H3" s="73">
        <v>50</v>
      </c>
      <c r="I3" s="74">
        <v>10</v>
      </c>
      <c r="J3" s="74">
        <v>10</v>
      </c>
    </row>
    <row r="4" spans="1:10" ht="18" customHeight="1">
      <c r="A4" s="75" t="s">
        <v>47</v>
      </c>
      <c r="B4" s="76">
        <v>11</v>
      </c>
      <c r="C4" s="77">
        <v>11</v>
      </c>
      <c r="D4" s="77">
        <v>11</v>
      </c>
      <c r="E4" s="77">
        <v>9</v>
      </c>
      <c r="F4" s="77">
        <v>11</v>
      </c>
      <c r="G4" s="77">
        <v>25</v>
      </c>
      <c r="H4" s="77">
        <v>7</v>
      </c>
      <c r="I4" s="78">
        <v>1</v>
      </c>
      <c r="J4" s="78">
        <v>1</v>
      </c>
    </row>
    <row r="5" spans="1:10" ht="19.5" customHeight="1">
      <c r="A5" s="75" t="s">
        <v>48</v>
      </c>
      <c r="B5" s="79">
        <v>1</v>
      </c>
      <c r="C5" s="80">
        <v>1.8</v>
      </c>
      <c r="D5" s="80">
        <v>1</v>
      </c>
      <c r="E5" s="80">
        <v>1.8</v>
      </c>
      <c r="F5" s="80">
        <v>2</v>
      </c>
      <c r="G5" s="80">
        <v>2</v>
      </c>
      <c r="H5" s="80">
        <v>1.6</v>
      </c>
      <c r="I5" s="81">
        <v>1</v>
      </c>
      <c r="J5" s="81">
        <v>1.3</v>
      </c>
    </row>
    <row r="6" spans="1:10" ht="18" customHeight="1">
      <c r="A6" s="75" t="s">
        <v>52</v>
      </c>
      <c r="B6" s="79">
        <v>0</v>
      </c>
      <c r="C6" s="80">
        <v>0</v>
      </c>
      <c r="D6" s="80">
        <v>0.4</v>
      </c>
      <c r="E6" s="80">
        <v>0.4</v>
      </c>
      <c r="F6" s="80">
        <v>0</v>
      </c>
      <c r="G6" s="80">
        <v>0</v>
      </c>
      <c r="H6" s="80">
        <v>0.5</v>
      </c>
      <c r="I6" s="81">
        <v>0.5</v>
      </c>
      <c r="J6" s="81">
        <v>0</v>
      </c>
    </row>
    <row r="7" spans="1:10" ht="19.5" customHeight="1">
      <c r="A7" s="75" t="s">
        <v>49</v>
      </c>
      <c r="B7" s="82">
        <f>SelBurr(B4,B3)/2</f>
        <v>0.660026720343638</v>
      </c>
      <c r="C7" s="83">
        <f aca="true" t="shared" si="0" ref="C7:J7">SelBurr(C4,C3)/2</f>
        <v>0.660026720343638</v>
      </c>
      <c r="D7" s="83">
        <f t="shared" si="0"/>
        <v>0.660026720343638</v>
      </c>
      <c r="E7" s="83">
        <f t="shared" si="0"/>
        <v>0.7135703200769878</v>
      </c>
      <c r="F7" s="83">
        <f>SelBurr(F4,F3)/2</f>
        <v>0.660026720343638</v>
      </c>
      <c r="G7" s="83">
        <f>SelBurr(G4,G3)/2</f>
        <v>0.3927985832422713</v>
      </c>
      <c r="H7" s="83">
        <f>SelBurr(H4,H3)/2</f>
        <v>0.7759764581994042</v>
      </c>
      <c r="I7" s="84">
        <f>SelBurr(I4,I3)/2</f>
        <v>0.7609404402468499</v>
      </c>
      <c r="J7" s="84">
        <f t="shared" si="0"/>
        <v>0.7609404402468499</v>
      </c>
    </row>
    <row r="8" spans="1:18" ht="19.5" customHeight="1" thickBot="1">
      <c r="A8" s="85" t="s">
        <v>50</v>
      </c>
      <c r="B8" s="86">
        <f aca="true" t="shared" si="1" ref="B8:J8">4*B3*B4/(B5*(B3+(1-B6)*(3-B6)*B4))</f>
        <v>26.50602409638554</v>
      </c>
      <c r="C8" s="87">
        <f t="shared" si="1"/>
        <v>14.725568942436412</v>
      </c>
      <c r="D8" s="87">
        <f t="shared" si="1"/>
        <v>32.75759380583681</v>
      </c>
      <c r="E8" s="87">
        <f t="shared" si="1"/>
        <v>15.615240474703308</v>
      </c>
      <c r="F8" s="87">
        <f t="shared" si="1"/>
        <v>13.25301204819277</v>
      </c>
      <c r="G8" s="87">
        <f t="shared" si="1"/>
        <v>20</v>
      </c>
      <c r="H8" s="87">
        <f t="shared" si="1"/>
        <v>14.893617021276595</v>
      </c>
      <c r="I8" s="87">
        <f t="shared" si="1"/>
        <v>3.5555555555555554</v>
      </c>
      <c r="J8" s="102">
        <f t="shared" si="1"/>
        <v>2.3668639053254434</v>
      </c>
      <c r="K8" s="13"/>
      <c r="L8" s="13"/>
      <c r="M8" s="13"/>
      <c r="N8" s="13"/>
      <c r="O8" s="13"/>
      <c r="P8" s="13"/>
      <c r="Q8" s="13"/>
      <c r="R8" s="13"/>
    </row>
    <row r="9" spans="1:18" ht="25.5" customHeight="1">
      <c r="A9"/>
      <c r="B9"/>
      <c r="C9"/>
      <c r="D9"/>
      <c r="E9"/>
      <c r="F9"/>
      <c r="G9"/>
      <c r="H9"/>
      <c r="I9" s="40"/>
      <c r="J9"/>
      <c r="K9"/>
      <c r="L9"/>
      <c r="M9" s="40"/>
      <c r="N9" s="41"/>
      <c r="O9" s="13"/>
      <c r="P9" s="13"/>
      <c r="Q9" s="13"/>
      <c r="R9" s="13"/>
    </row>
    <row r="10" spans="1:14" ht="12.75">
      <c r="A10"/>
      <c r="B10"/>
      <c r="C10"/>
      <c r="D10"/>
      <c r="E10"/>
      <c r="F10"/>
      <c r="G10"/>
      <c r="H10"/>
      <c r="I10" s="40"/>
      <c r="J10"/>
      <c r="K10"/>
      <c r="L10"/>
      <c r="M10" s="40"/>
      <c r="N10"/>
    </row>
    <row r="11" spans="1:14" ht="12.75">
      <c r="A11"/>
      <c r="B11"/>
      <c r="C11"/>
      <c r="D11"/>
      <c r="E11"/>
      <c r="F11"/>
      <c r="G11"/>
      <c r="H11"/>
      <c r="I11" s="40"/>
      <c r="J11"/>
      <c r="K11"/>
      <c r="L11"/>
      <c r="M11" s="40"/>
      <c r="N11"/>
    </row>
    <row r="12" spans="1:14" ht="12.75">
      <c r="A12"/>
      <c r="B12"/>
      <c r="C12"/>
      <c r="D12"/>
      <c r="E12"/>
      <c r="F12"/>
      <c r="G12"/>
      <c r="H12"/>
      <c r="I12"/>
      <c r="J12"/>
      <c r="K12"/>
      <c r="L12"/>
      <c r="M12"/>
      <c r="N12"/>
    </row>
    <row r="13" spans="1:14" ht="12.75">
      <c r="A13"/>
      <c r="B13"/>
      <c r="C13"/>
      <c r="D13"/>
      <c r="E13"/>
      <c r="F13"/>
      <c r="G13"/>
      <c r="H13"/>
      <c r="I13"/>
      <c r="J13"/>
      <c r="K13"/>
      <c r="L13"/>
      <c r="M13"/>
      <c r="N13"/>
    </row>
    <row r="14" spans="1:14" ht="12.75">
      <c r="A14"/>
      <c r="B14"/>
      <c r="C14"/>
      <c r="D14"/>
      <c r="E14"/>
      <c r="F14"/>
      <c r="G14"/>
      <c r="H14"/>
      <c r="I14"/>
      <c r="J14"/>
      <c r="K14"/>
      <c r="L14"/>
      <c r="M14"/>
      <c r="N14"/>
    </row>
    <row r="15" spans="1:14" ht="12.75">
      <c r="A15"/>
      <c r="B15"/>
      <c r="C15"/>
      <c r="D15"/>
      <c r="E15"/>
      <c r="F15"/>
      <c r="G15"/>
      <c r="H15"/>
      <c r="I15"/>
      <c r="J15"/>
      <c r="K15"/>
      <c r="L15"/>
      <c r="M15"/>
      <c r="N15"/>
    </row>
    <row r="16" spans="1:14" ht="12.75">
      <c r="A16"/>
      <c r="B16"/>
      <c r="C16"/>
      <c r="D16"/>
      <c r="E16"/>
      <c r="F16"/>
      <c r="G16"/>
      <c r="H16"/>
      <c r="I16"/>
      <c r="J16"/>
      <c r="K16"/>
      <c r="L16"/>
      <c r="M16"/>
      <c r="N16"/>
    </row>
    <row r="17" spans="1:14" ht="12.75">
      <c r="A17"/>
      <c r="B17"/>
      <c r="C17"/>
      <c r="D17"/>
      <c r="E17"/>
      <c r="F17"/>
      <c r="G17"/>
      <c r="H17"/>
      <c r="I17"/>
      <c r="J17"/>
      <c r="K17"/>
      <c r="L17"/>
      <c r="M17"/>
      <c r="N17"/>
    </row>
    <row r="18" spans="1:14" ht="12.75">
      <c r="A18"/>
      <c r="B18"/>
      <c r="C18"/>
      <c r="D18"/>
      <c r="E18"/>
      <c r="F18"/>
      <c r="G18"/>
      <c r="H18"/>
      <c r="I18"/>
      <c r="J18"/>
      <c r="K18"/>
      <c r="L18"/>
      <c r="M18"/>
      <c r="N18"/>
    </row>
    <row r="19" spans="1:14" ht="12.75">
      <c r="A19"/>
      <c r="B19"/>
      <c r="C19"/>
      <c r="D19"/>
      <c r="E19"/>
      <c r="F19"/>
      <c r="G19"/>
      <c r="H19"/>
      <c r="I19"/>
      <c r="J19"/>
      <c r="K19"/>
      <c r="L19"/>
      <c r="M19"/>
      <c r="N19"/>
    </row>
    <row r="20" spans="1:14" ht="12.75">
      <c r="A20"/>
      <c r="B20"/>
      <c r="C20"/>
      <c r="D20"/>
      <c r="E20"/>
      <c r="F20"/>
      <c r="G20"/>
      <c r="H20"/>
      <c r="I20"/>
      <c r="J20"/>
      <c r="K20"/>
      <c r="L20"/>
      <c r="M20"/>
      <c r="N20"/>
    </row>
    <row r="21" spans="1:14" ht="12.75">
      <c r="A21"/>
      <c r="B21"/>
      <c r="C21"/>
      <c r="D21"/>
      <c r="E21"/>
      <c r="F21"/>
      <c r="G21"/>
      <c r="H21"/>
      <c r="I21"/>
      <c r="J21"/>
      <c r="K21"/>
      <c r="L21"/>
      <c r="M21"/>
      <c r="N21"/>
    </row>
    <row r="22" spans="1:14" ht="12.75">
      <c r="A22"/>
      <c r="B22"/>
      <c r="C22"/>
      <c r="D22"/>
      <c r="E22"/>
      <c r="F22"/>
      <c r="G22"/>
      <c r="H22"/>
      <c r="I22"/>
      <c r="J22"/>
      <c r="K22"/>
      <c r="L22"/>
      <c r="M22"/>
      <c r="N22"/>
    </row>
    <row r="23" spans="1:14" ht="12.75">
      <c r="A23"/>
      <c r="B23"/>
      <c r="C23"/>
      <c r="D23"/>
      <c r="E23"/>
      <c r="F23"/>
      <c r="G23"/>
      <c r="H23"/>
      <c r="I23"/>
      <c r="J23"/>
      <c r="K23"/>
      <c r="L23"/>
      <c r="M23"/>
      <c r="N23"/>
    </row>
    <row r="24" spans="1:14" ht="12.75">
      <c r="A24"/>
      <c r="B24"/>
      <c r="C24"/>
      <c r="D24"/>
      <c r="E24"/>
      <c r="F24"/>
      <c r="G24"/>
      <c r="H24"/>
      <c r="I24"/>
      <c r="J24"/>
      <c r="K24"/>
      <c r="L24"/>
      <c r="M24"/>
      <c r="N24"/>
    </row>
    <row r="25" spans="1:14" ht="12.75">
      <c r="A25"/>
      <c r="B25"/>
      <c r="C25"/>
      <c r="D25"/>
      <c r="E25"/>
      <c r="F25"/>
      <c r="G25"/>
      <c r="H25"/>
      <c r="I25"/>
      <c r="J25"/>
      <c r="K25"/>
      <c r="L25"/>
      <c r="M25"/>
      <c r="N25"/>
    </row>
    <row r="26" spans="1:14" ht="12.75">
      <c r="A26"/>
      <c r="B26"/>
      <c r="C26"/>
      <c r="D26"/>
      <c r="E26"/>
      <c r="F26"/>
      <c r="G26"/>
      <c r="H26"/>
      <c r="I26"/>
      <c r="J26"/>
      <c r="K26"/>
      <c r="L26"/>
      <c r="M26"/>
      <c r="N26"/>
    </row>
    <row r="27" spans="1:14" ht="12.75">
      <c r="A27"/>
      <c r="B27"/>
      <c r="C27"/>
      <c r="E27"/>
      <c r="G27"/>
      <c r="H27"/>
      <c r="I27"/>
      <c r="J27"/>
      <c r="K27"/>
      <c r="L27"/>
      <c r="M27"/>
      <c r="N27"/>
    </row>
    <row r="28" spans="1:18" ht="12.75">
      <c r="A28"/>
      <c r="B28"/>
      <c r="C28"/>
      <c r="E28"/>
      <c r="G28" s="43"/>
      <c r="H28"/>
      <c r="I28"/>
      <c r="J28"/>
      <c r="K28"/>
      <c r="L28"/>
      <c r="M28"/>
      <c r="N28"/>
      <c r="O28" s="4"/>
      <c r="P28" s="4"/>
      <c r="Q28" s="4"/>
      <c r="R28" s="4"/>
    </row>
    <row r="29" spans="1:14" ht="12.75">
      <c r="A29"/>
      <c r="B29"/>
      <c r="C29"/>
      <c r="E29"/>
      <c r="G29"/>
      <c r="H29"/>
      <c r="I29"/>
      <c r="J29"/>
      <c r="K29"/>
      <c r="L29"/>
      <c r="M29"/>
      <c r="N29"/>
    </row>
    <row r="30" spans="1:14" ht="12.75">
      <c r="A30"/>
      <c r="B30"/>
      <c r="C30"/>
      <c r="E30"/>
      <c r="G30"/>
      <c r="H30"/>
      <c r="I30"/>
      <c r="J30"/>
      <c r="K30"/>
      <c r="L30"/>
      <c r="M30"/>
      <c r="N30"/>
    </row>
    <row r="31" ht="12.75">
      <c r="N31"/>
    </row>
    <row r="32" ht="12.75">
      <c r="N32"/>
    </row>
    <row r="33" ht="12.75">
      <c r="N33"/>
    </row>
    <row r="34" ht="12.75">
      <c r="N34"/>
    </row>
    <row r="35" ht="12.75">
      <c r="N35"/>
    </row>
  </sheetData>
  <printOptions/>
  <pageMargins left="0.75" right="0.75" top="1" bottom="1" header="0.5" footer="0.5"/>
  <pageSetup horizontalDpi="600" verticalDpi="600" orientation="portrait" paperSize="9" r:id="rId7"/>
  <drawing r:id="rId6"/>
  <legacyDrawing r:id="rId5"/>
  <oleObjects>
    <oleObject progId="Equation.3" shapeId="26671363" r:id="rId2"/>
    <oleObject progId="Equation.3" shapeId="26671365" r:id="rId3"/>
    <oleObject progId="Equation.3" shapeId="1472678" r:id="rId4"/>
  </oleObjects>
</worksheet>
</file>

<file path=xl/worksheets/sheet8.xml><?xml version="1.0" encoding="utf-8"?>
<worksheet xmlns="http://schemas.openxmlformats.org/spreadsheetml/2006/main" xmlns:r="http://schemas.openxmlformats.org/officeDocument/2006/relationships">
  <sheetPr codeName="Sheet4"/>
  <dimension ref="A1:AK44"/>
  <sheetViews>
    <sheetView workbookViewId="0" topLeftCell="A1">
      <selection activeCell="A5" sqref="A5"/>
    </sheetView>
  </sheetViews>
  <sheetFormatPr defaultColWidth="9.140625" defaultRowHeight="12.75"/>
  <cols>
    <col min="7" max="7" width="9.57421875" style="0" hidden="1" customWidth="1"/>
    <col min="8" max="8" width="9.57421875" style="0" bestFit="1" customWidth="1"/>
    <col min="9" max="9" width="9.57421875" style="0" hidden="1" customWidth="1"/>
    <col min="10" max="11" width="9.57421875" style="0" bestFit="1" customWidth="1"/>
    <col min="12" max="13" width="9.140625" style="0" hidden="1" customWidth="1"/>
    <col min="16" max="19" width="9.140625" style="0" hidden="1" customWidth="1"/>
    <col min="31" max="37" width="0" style="0" hidden="1" customWidth="1"/>
  </cols>
  <sheetData>
    <row r="1" spans="1:21" ht="19.5" customHeight="1" thickTop="1">
      <c r="A1" s="254"/>
      <c r="B1" s="255"/>
      <c r="C1" s="256"/>
      <c r="D1" s="255"/>
      <c r="E1" s="257" t="s">
        <v>203</v>
      </c>
      <c r="F1" s="258" t="s">
        <v>277</v>
      </c>
      <c r="G1" s="255"/>
      <c r="I1" s="255"/>
      <c r="J1" s="259" t="s">
        <v>204</v>
      </c>
      <c r="K1" s="259" t="s">
        <v>103</v>
      </c>
      <c r="N1" s="260" t="s">
        <v>205</v>
      </c>
      <c r="O1" s="255"/>
      <c r="P1" s="255"/>
      <c r="Q1" s="255"/>
      <c r="R1" s="255"/>
      <c r="S1" s="255"/>
      <c r="T1" s="255"/>
      <c r="U1" s="255"/>
    </row>
    <row r="2" spans="1:21" ht="12.75">
      <c r="A2" s="261" t="s">
        <v>206</v>
      </c>
      <c r="B2" s="259" t="s">
        <v>207</v>
      </c>
      <c r="C2" t="s">
        <v>208</v>
      </c>
      <c r="D2" t="s">
        <v>209</v>
      </c>
      <c r="E2" s="259" t="s">
        <v>210</v>
      </c>
      <c r="F2" s="259" t="s">
        <v>211</v>
      </c>
      <c r="H2" s="259" t="s">
        <v>212</v>
      </c>
      <c r="K2" s="262" t="s">
        <v>252</v>
      </c>
      <c r="N2" s="260" t="s">
        <v>91</v>
      </c>
      <c r="O2" s="264" t="s">
        <v>214</v>
      </c>
      <c r="U2" s="263" t="s">
        <v>213</v>
      </c>
    </row>
    <row r="3" spans="1:21" ht="12.75">
      <c r="A3" s="265" t="s">
        <v>215</v>
      </c>
      <c r="B3" s="266" t="s">
        <v>2</v>
      </c>
      <c r="C3" s="267" t="s">
        <v>2</v>
      </c>
      <c r="D3" s="268" t="s">
        <v>3</v>
      </c>
      <c r="E3" s="269" t="s">
        <v>3</v>
      </c>
      <c r="F3" s="270" t="s">
        <v>216</v>
      </c>
      <c r="G3" s="271"/>
      <c r="H3" s="273">
        <v>9</v>
      </c>
      <c r="J3" s="274">
        <v>110</v>
      </c>
      <c r="K3" s="272" t="s">
        <v>217</v>
      </c>
      <c r="N3" s="259" t="s">
        <v>94</v>
      </c>
      <c r="O3" s="261" t="s">
        <v>219</v>
      </c>
      <c r="R3" s="276"/>
      <c r="S3" s="276"/>
      <c r="U3" s="275" t="s">
        <v>218</v>
      </c>
    </row>
    <row r="4" spans="2:32" ht="13.5" thickBot="1">
      <c r="B4" t="s">
        <v>267</v>
      </c>
      <c r="C4" s="444" t="s">
        <v>268</v>
      </c>
      <c r="O4" s="277"/>
      <c r="AF4" t="s">
        <v>220</v>
      </c>
    </row>
    <row r="5" spans="4:37" ht="16.5" thickBot="1">
      <c r="D5" s="278" t="s">
        <v>221</v>
      </c>
      <c r="E5" s="279">
        <v>150</v>
      </c>
      <c r="F5" s="280" t="s">
        <v>222</v>
      </c>
      <c r="G5" s="281"/>
      <c r="H5" s="280" t="s">
        <v>223</v>
      </c>
      <c r="I5" s="281"/>
      <c r="J5" s="282" t="s">
        <v>117</v>
      </c>
      <c r="K5" s="280" t="s">
        <v>224</v>
      </c>
      <c r="L5" s="283"/>
      <c r="M5" s="283"/>
      <c r="N5" s="283"/>
      <c r="O5" s="260" t="s">
        <v>225</v>
      </c>
      <c r="P5" s="284"/>
      <c r="Q5" s="285" t="s">
        <v>226</v>
      </c>
      <c r="R5" s="283"/>
      <c r="S5" s="281"/>
      <c r="AE5" s="486" t="s">
        <v>227</v>
      </c>
      <c r="AF5" s="486"/>
      <c r="AG5" s="486"/>
      <c r="AH5" s="486"/>
      <c r="AI5" s="486"/>
      <c r="AJ5" s="486"/>
      <c r="AK5" s="486"/>
    </row>
    <row r="6" spans="2:37" ht="12.75">
      <c r="B6" s="483" t="s">
        <v>228</v>
      </c>
      <c r="C6" s="484"/>
      <c r="D6" s="485"/>
      <c r="E6" s="286"/>
      <c r="F6" s="287">
        <v>-100</v>
      </c>
      <c r="G6" s="288"/>
      <c r="H6" s="289"/>
      <c r="I6" s="288"/>
      <c r="J6" s="290" t="s">
        <v>229</v>
      </c>
      <c r="K6" s="289" t="s">
        <v>266</v>
      </c>
      <c r="L6" s="40"/>
      <c r="M6" s="40"/>
      <c r="N6" s="291" t="s">
        <v>230</v>
      </c>
      <c r="O6" s="229">
        <v>0.75</v>
      </c>
      <c r="P6" s="289" t="s">
        <v>231</v>
      </c>
      <c r="Q6" s="40" t="s">
        <v>232</v>
      </c>
      <c r="R6" s="40"/>
      <c r="S6" s="288" t="s">
        <v>233</v>
      </c>
      <c r="AE6" s="486" t="s">
        <v>234</v>
      </c>
      <c r="AF6" s="486"/>
      <c r="AG6" s="486"/>
      <c r="AH6" s="486"/>
      <c r="AI6" s="486" t="s">
        <v>235</v>
      </c>
      <c r="AJ6" s="486"/>
      <c r="AK6" s="486"/>
    </row>
    <row r="7" spans="2:37" ht="13.5" thickBot="1">
      <c r="B7" s="292" t="s">
        <v>236</v>
      </c>
      <c r="C7" s="293" t="s">
        <v>237</v>
      </c>
      <c r="D7" s="294" t="s">
        <v>238</v>
      </c>
      <c r="E7" s="295" t="s">
        <v>239</v>
      </c>
      <c r="F7" s="296">
        <f>SUM(G8:G30)</f>
        <v>23</v>
      </c>
      <c r="G7" s="288"/>
      <c r="H7" s="287">
        <v>5.55</v>
      </c>
      <c r="I7" s="297">
        <f>SUM(I8:I30)</f>
        <v>912.9200000000002</v>
      </c>
      <c r="J7" s="298"/>
      <c r="K7" s="299">
        <v>8.6</v>
      </c>
      <c r="L7" s="103" t="s">
        <v>262</v>
      </c>
      <c r="M7" s="103" t="s">
        <v>263</v>
      </c>
      <c r="N7" s="300" t="s">
        <v>264</v>
      </c>
      <c r="O7" s="301" t="s">
        <v>265</v>
      </c>
      <c r="P7" s="299">
        <v>8.6</v>
      </c>
      <c r="Q7" s="302">
        <v>180</v>
      </c>
      <c r="R7" s="103" t="s">
        <v>240</v>
      </c>
      <c r="S7" s="303">
        <v>9.55</v>
      </c>
      <c r="AE7" s="304">
        <v>23</v>
      </c>
      <c r="AF7" s="304">
        <v>20</v>
      </c>
      <c r="AG7" s="304" t="s">
        <v>241</v>
      </c>
      <c r="AH7" s="304"/>
      <c r="AI7" s="304">
        <v>8.6</v>
      </c>
      <c r="AJ7" s="304">
        <v>5.55</v>
      </c>
      <c r="AK7" s="304" t="s">
        <v>242</v>
      </c>
    </row>
    <row r="8" spans="2:37" ht="12.75">
      <c r="B8" s="305">
        <v>1</v>
      </c>
      <c r="C8" s="306"/>
      <c r="D8" s="307"/>
      <c r="E8" s="308">
        <v>77.63</v>
      </c>
      <c r="F8" s="309">
        <f aca="true" t="shared" si="0" ref="F8:F30">IF(G8=1,1/F$7,0)</f>
        <v>0.043478260869565216</v>
      </c>
      <c r="G8" s="310">
        <f aca="true" t="shared" si="1" ref="G8:G30">IF(E8&gt;$F$6,1,0)</f>
        <v>1</v>
      </c>
      <c r="H8" s="311">
        <f aca="true" t="shared" si="2" ref="H8:H30">I8/I$7</f>
        <v>0.07895543968803398</v>
      </c>
      <c r="I8" s="312">
        <f aca="true" t="shared" si="3" ref="I8:I30">MAX(E8-H$7,0)</f>
        <v>72.08</v>
      </c>
      <c r="J8" s="397">
        <v>0.07900976984351563</v>
      </c>
      <c r="K8" s="314">
        <v>0.08190846850267573</v>
      </c>
      <c r="L8" s="315">
        <f>K8</f>
        <v>0.08190846850267573</v>
      </c>
      <c r="M8" s="315">
        <f>IF(L8&lt;O$6,K8,too high)</f>
        <v>0.08190846850267573</v>
      </c>
      <c r="N8" s="316">
        <f aca="true" t="shared" si="4" ref="N8:N30">IF(M8&gt;0,M8,0)/O$6</f>
        <v>0.10921129133690098</v>
      </c>
      <c r="O8" s="317">
        <f aca="true" t="shared" si="5" ref="O8:O30">(K8+N8)/2</f>
        <v>0.09555987991978836</v>
      </c>
      <c r="P8" s="314">
        <v>0.08190846850267573</v>
      </c>
      <c r="Q8" s="318">
        <f aca="true" t="shared" si="6" ref="Q8:Q30">INT(Q$7*P8+Q$32/10)</f>
        <v>15</v>
      </c>
      <c r="R8" s="316">
        <f aca="true" t="shared" si="7" ref="R8:R30">Q8/Q$7</f>
        <v>0.08333333333333333</v>
      </c>
      <c r="S8" s="400">
        <v>0.082931345319885</v>
      </c>
      <c r="AE8" s="313">
        <v>0.043478260869565216</v>
      </c>
      <c r="AF8" s="313">
        <v>0.05</v>
      </c>
      <c r="AG8" s="313">
        <v>0.058333333333333334</v>
      </c>
      <c r="AI8" s="313">
        <v>0.08190846850267573</v>
      </c>
      <c r="AJ8" s="319">
        <v>0.07895543968803398</v>
      </c>
      <c r="AK8" s="319">
        <v>0.09318440608893683</v>
      </c>
    </row>
    <row r="9" spans="2:37" ht="12.75">
      <c r="B9" s="320">
        <v>2</v>
      </c>
      <c r="C9" s="291"/>
      <c r="D9" s="321"/>
      <c r="E9" s="322">
        <v>75.37</v>
      </c>
      <c r="F9" s="323">
        <f t="shared" si="0"/>
        <v>0.043478260869565216</v>
      </c>
      <c r="G9" s="324">
        <f t="shared" si="1"/>
        <v>1</v>
      </c>
      <c r="H9" s="325">
        <f t="shared" si="2"/>
        <v>0.07647986680103404</v>
      </c>
      <c r="I9" s="297">
        <f t="shared" si="3"/>
        <v>69.82000000000001</v>
      </c>
      <c r="J9" s="398">
        <v>0.07644886483880264</v>
      </c>
      <c r="K9" s="326">
        <v>0.07922683531687179</v>
      </c>
      <c r="L9" s="250">
        <f aca="true" t="shared" si="8" ref="L9:L30">L8+K9</f>
        <v>0.16113530381954752</v>
      </c>
      <c r="M9" s="250">
        <f aca="true" t="shared" si="9" ref="M9:M30">IF(L9&lt;O$6,K9,O$6-L8)</f>
        <v>0.07922683531687179</v>
      </c>
      <c r="N9" s="327">
        <f t="shared" si="4"/>
        <v>0.10563578042249572</v>
      </c>
      <c r="O9" s="328">
        <f t="shared" si="5"/>
        <v>0.09243130786968376</v>
      </c>
      <c r="P9" s="326">
        <v>0.07922683531687179</v>
      </c>
      <c r="Q9" s="329">
        <f t="shared" si="6"/>
        <v>14</v>
      </c>
      <c r="R9" s="327">
        <f t="shared" si="7"/>
        <v>0.07777777777777778</v>
      </c>
      <c r="S9" s="401">
        <v>0.08017833650051162</v>
      </c>
      <c r="AE9" s="313">
        <v>0.043478260869565216</v>
      </c>
      <c r="AF9" s="313">
        <v>0.05</v>
      </c>
      <c r="AG9" s="313">
        <v>0.058333333333333334</v>
      </c>
      <c r="AI9" s="313">
        <v>0.07922683531687179</v>
      </c>
      <c r="AJ9" s="319">
        <v>0.07647986680103404</v>
      </c>
      <c r="AK9" s="319">
        <v>0.09022159295217547</v>
      </c>
    </row>
    <row r="10" spans="2:37" ht="12.75">
      <c r="B10" s="330">
        <v>3</v>
      </c>
      <c r="C10" s="291"/>
      <c r="D10" s="321"/>
      <c r="E10" s="322">
        <v>67.71</v>
      </c>
      <c r="F10" s="323">
        <f t="shared" si="0"/>
        <v>0.043478260869565216</v>
      </c>
      <c r="G10" s="324">
        <f t="shared" si="1"/>
        <v>1</v>
      </c>
      <c r="H10" s="325">
        <f t="shared" si="2"/>
        <v>0.06808920825483064</v>
      </c>
      <c r="I10" s="297">
        <f t="shared" si="3"/>
        <v>62.16</v>
      </c>
      <c r="J10" s="398">
        <v>0.06807723198095589</v>
      </c>
      <c r="K10" s="326">
        <v>0.07013776000569552</v>
      </c>
      <c r="L10" s="250">
        <f t="shared" si="8"/>
        <v>0.23127306382524304</v>
      </c>
      <c r="M10" s="250">
        <f t="shared" si="9"/>
        <v>0.07013776000569552</v>
      </c>
      <c r="N10" s="327">
        <f t="shared" si="4"/>
        <v>0.09351701334092737</v>
      </c>
      <c r="O10" s="328">
        <f t="shared" si="5"/>
        <v>0.08182738667331144</v>
      </c>
      <c r="P10" s="326">
        <v>0.07013776000569552</v>
      </c>
      <c r="Q10" s="329">
        <f t="shared" si="6"/>
        <v>13</v>
      </c>
      <c r="R10" s="327">
        <f t="shared" si="7"/>
        <v>0.07222222222222222</v>
      </c>
      <c r="S10" s="401">
        <v>0.07084734200652924</v>
      </c>
      <c r="AE10" s="313">
        <v>0.043478260869565216</v>
      </c>
      <c r="AF10" s="313">
        <v>0.05</v>
      </c>
      <c r="AG10" s="313">
        <v>0.058333333333333334</v>
      </c>
      <c r="AI10" s="313">
        <v>0.07013776000569552</v>
      </c>
      <c r="AJ10" s="319">
        <v>0.06808920825483064</v>
      </c>
      <c r="AK10" s="319">
        <v>0.08017949178952413</v>
      </c>
    </row>
    <row r="11" spans="2:37" ht="12.75">
      <c r="B11" s="330">
        <v>4</v>
      </c>
      <c r="C11" s="291"/>
      <c r="D11" s="321"/>
      <c r="E11" s="322">
        <v>60.3</v>
      </c>
      <c r="F11" s="323">
        <f t="shared" si="0"/>
        <v>0.043478260869565216</v>
      </c>
      <c r="G11" s="324">
        <f t="shared" si="1"/>
        <v>1</v>
      </c>
      <c r="H11" s="325">
        <f t="shared" si="2"/>
        <v>0.0599723962669237</v>
      </c>
      <c r="I11" s="297">
        <f t="shared" si="3"/>
        <v>54.75</v>
      </c>
      <c r="J11" s="398">
        <v>0.059970759203222604</v>
      </c>
      <c r="K11" s="326">
        <v>0.06134532553365689</v>
      </c>
      <c r="L11" s="250">
        <f t="shared" si="8"/>
        <v>0.29261838935889994</v>
      </c>
      <c r="M11" s="250">
        <f t="shared" si="9"/>
        <v>0.06134532553365689</v>
      </c>
      <c r="N11" s="327">
        <f t="shared" si="4"/>
        <v>0.08179376737820919</v>
      </c>
      <c r="O11" s="328">
        <f t="shared" si="5"/>
        <v>0.07156954645593304</v>
      </c>
      <c r="P11" s="326">
        <v>0.06134532553365689</v>
      </c>
      <c r="Q11" s="329">
        <f t="shared" si="6"/>
        <v>11</v>
      </c>
      <c r="R11" s="327">
        <f t="shared" si="7"/>
        <v>0.06111111111111111</v>
      </c>
      <c r="S11" s="401">
        <v>0.061820883886371386</v>
      </c>
      <c r="AE11" s="313">
        <v>0.043478260869565216</v>
      </c>
      <c r="AF11" s="313">
        <v>0.05</v>
      </c>
      <c r="AG11" s="313">
        <v>0.058333333333333334</v>
      </c>
      <c r="AI11" s="313">
        <v>0.06134532553365689</v>
      </c>
      <c r="AJ11" s="319">
        <v>0.0599723962669237</v>
      </c>
      <c r="AK11" s="319">
        <v>0.07046513544288624</v>
      </c>
    </row>
    <row r="12" spans="2:37" ht="12.75">
      <c r="B12" s="330">
        <v>5</v>
      </c>
      <c r="C12" s="291">
        <v>101</v>
      </c>
      <c r="D12" s="321">
        <v>102</v>
      </c>
      <c r="E12" s="322">
        <v>59.64</v>
      </c>
      <c r="F12" s="323">
        <f t="shared" si="0"/>
        <v>0.043478260869565216</v>
      </c>
      <c r="G12" s="324">
        <f t="shared" si="1"/>
        <v>1</v>
      </c>
      <c r="H12" s="325">
        <f t="shared" si="2"/>
        <v>0.059249441353021064</v>
      </c>
      <c r="I12" s="297">
        <f t="shared" si="3"/>
        <v>54.09</v>
      </c>
      <c r="J12" s="398">
        <v>0.05924663322042311</v>
      </c>
      <c r="K12" s="326">
        <v>0.060562193718333615</v>
      </c>
      <c r="L12" s="250">
        <f t="shared" si="8"/>
        <v>0.35318058307723355</v>
      </c>
      <c r="M12" s="250">
        <f t="shared" si="9"/>
        <v>0.060562193718333615</v>
      </c>
      <c r="N12" s="327">
        <f t="shared" si="4"/>
        <v>0.08074959162444482</v>
      </c>
      <c r="O12" s="328">
        <f t="shared" si="5"/>
        <v>0.07065589267138922</v>
      </c>
      <c r="P12" s="326">
        <v>0.060562193718333615</v>
      </c>
      <c r="Q12" s="329">
        <f t="shared" si="6"/>
        <v>11</v>
      </c>
      <c r="R12" s="327">
        <f t="shared" si="7"/>
        <v>0.06111111111111111</v>
      </c>
      <c r="S12" s="401">
        <v>0.06101690785947474</v>
      </c>
      <c r="AE12" s="313">
        <v>0.043478260869565216</v>
      </c>
      <c r="AF12" s="313">
        <v>0.05</v>
      </c>
      <c r="AG12" s="313">
        <v>0.058333333333333334</v>
      </c>
      <c r="AI12" s="313">
        <v>0.060562193718333615</v>
      </c>
      <c r="AJ12" s="319">
        <v>0.059249441353021064</v>
      </c>
      <c r="AK12" s="319">
        <v>0.0695998891286108</v>
      </c>
    </row>
    <row r="13" spans="2:37" ht="12.75">
      <c r="B13" s="330">
        <v>6</v>
      </c>
      <c r="C13" s="291">
        <v>103</v>
      </c>
      <c r="D13" s="321">
        <v>104</v>
      </c>
      <c r="E13" s="322">
        <v>58.05</v>
      </c>
      <c r="F13" s="323">
        <f t="shared" si="0"/>
        <v>0.043478260869565216</v>
      </c>
      <c r="G13" s="324">
        <f t="shared" si="1"/>
        <v>1</v>
      </c>
      <c r="H13" s="325">
        <f t="shared" si="2"/>
        <v>0.05750777724225561</v>
      </c>
      <c r="I13" s="297">
        <f t="shared" si="3"/>
        <v>52.5</v>
      </c>
      <c r="J13" s="398">
        <v>0.057501659806724774</v>
      </c>
      <c r="K13" s="326">
        <v>0.058675557981418436</v>
      </c>
      <c r="L13" s="250">
        <f t="shared" si="8"/>
        <v>0.411856141058652</v>
      </c>
      <c r="M13" s="250">
        <f t="shared" si="9"/>
        <v>0.058675557981418436</v>
      </c>
      <c r="N13" s="327">
        <f t="shared" si="4"/>
        <v>0.07823407730855791</v>
      </c>
      <c r="O13" s="328">
        <f t="shared" si="5"/>
        <v>0.06845481764498818</v>
      </c>
      <c r="P13" s="326">
        <v>0.058675557981418436</v>
      </c>
      <c r="Q13" s="329">
        <f t="shared" si="6"/>
        <v>11</v>
      </c>
      <c r="R13" s="327">
        <f t="shared" si="7"/>
        <v>0.06111111111111111</v>
      </c>
      <c r="S13" s="401">
        <v>0.059080056521950974</v>
      </c>
      <c r="AE13" s="313">
        <v>0.043478260869565216</v>
      </c>
      <c r="AF13" s="313">
        <v>0.05</v>
      </c>
      <c r="AG13" s="313">
        <v>0.058333333333333334</v>
      </c>
      <c r="AI13" s="313">
        <v>0.058675557981418436</v>
      </c>
      <c r="AJ13" s="319">
        <v>0.05750777724225561</v>
      </c>
      <c r="AK13" s="319">
        <v>0.06751543209876541</v>
      </c>
    </row>
    <row r="14" spans="2:37" ht="12.75">
      <c r="B14" s="330">
        <v>7</v>
      </c>
      <c r="C14" s="291">
        <v>105</v>
      </c>
      <c r="D14" s="321" t="s">
        <v>243</v>
      </c>
      <c r="E14" s="322">
        <v>54.81</v>
      </c>
      <c r="F14" s="323">
        <f t="shared" si="0"/>
        <v>0.043478260869565216</v>
      </c>
      <c r="G14" s="324">
        <f t="shared" si="1"/>
        <v>1</v>
      </c>
      <c r="H14" s="325">
        <f t="shared" si="2"/>
        <v>0.05395872584673355</v>
      </c>
      <c r="I14" s="297">
        <f t="shared" si="3"/>
        <v>49.260000000000005</v>
      </c>
      <c r="J14" s="398">
        <v>0.0539482067411548</v>
      </c>
      <c r="K14" s="326">
        <v>0.05483109270619507</v>
      </c>
      <c r="L14" s="250">
        <f t="shared" si="8"/>
        <v>0.46668723376484705</v>
      </c>
      <c r="M14" s="250">
        <f t="shared" si="9"/>
        <v>0.05483109270619507</v>
      </c>
      <c r="N14" s="327">
        <f t="shared" si="4"/>
        <v>0.07310812360826009</v>
      </c>
      <c r="O14" s="328">
        <f t="shared" si="5"/>
        <v>0.06396960815722758</v>
      </c>
      <c r="P14" s="326">
        <v>0.05483109270619507</v>
      </c>
      <c r="Q14" s="329">
        <f t="shared" si="6"/>
        <v>10</v>
      </c>
      <c r="R14" s="327">
        <f t="shared" si="7"/>
        <v>0.05555555555555555</v>
      </c>
      <c r="S14" s="401">
        <v>0.055133265117185595</v>
      </c>
      <c r="AE14" s="313">
        <v>0.043478260869565216</v>
      </c>
      <c r="AF14" s="313">
        <v>0.05</v>
      </c>
      <c r="AG14" s="313">
        <v>0.058333333333333334</v>
      </c>
      <c r="AI14" s="313">
        <v>0.05483109270619507</v>
      </c>
      <c r="AJ14" s="319">
        <v>0.05395872584673355</v>
      </c>
      <c r="AK14" s="319">
        <v>0.06326785928323145</v>
      </c>
    </row>
    <row r="15" spans="2:37" ht="12.75">
      <c r="B15" s="330">
        <v>8</v>
      </c>
      <c r="C15" s="331"/>
      <c r="D15" s="321"/>
      <c r="E15" s="322">
        <v>53.22</v>
      </c>
      <c r="F15" s="323">
        <f t="shared" si="0"/>
        <v>0.043478260869565216</v>
      </c>
      <c r="G15" s="324">
        <f t="shared" si="1"/>
        <v>1</v>
      </c>
      <c r="H15" s="325">
        <f t="shared" si="2"/>
        <v>0.052217061735968094</v>
      </c>
      <c r="I15" s="297">
        <f t="shared" si="3"/>
        <v>47.67</v>
      </c>
      <c r="J15" s="398">
        <v>0.0522071324451086</v>
      </c>
      <c r="K15" s="326">
        <v>0.05294445696927989</v>
      </c>
      <c r="L15" s="250">
        <f t="shared" si="8"/>
        <v>0.519631690734127</v>
      </c>
      <c r="M15" s="250">
        <f t="shared" si="9"/>
        <v>0.05294445696927989</v>
      </c>
      <c r="N15" s="327">
        <f t="shared" si="4"/>
        <v>0.0705926092923732</v>
      </c>
      <c r="O15" s="328">
        <f t="shared" si="5"/>
        <v>0.061768533130826545</v>
      </c>
      <c r="P15" s="326">
        <v>0.05294445696927989</v>
      </c>
      <c r="Q15" s="329">
        <f t="shared" si="6"/>
        <v>9</v>
      </c>
      <c r="R15" s="327">
        <f t="shared" si="7"/>
        <v>0.05</v>
      </c>
      <c r="S15" s="401">
        <v>0.05319641377966184</v>
      </c>
      <c r="AE15" s="313">
        <v>0.043478260869565216</v>
      </c>
      <c r="AF15" s="313">
        <v>0.05</v>
      </c>
      <c r="AG15" s="313">
        <v>0.058333333333333334</v>
      </c>
      <c r="AI15" s="313">
        <v>0.05294445696927989</v>
      </c>
      <c r="AJ15" s="319">
        <v>0.052217061735968094</v>
      </c>
      <c r="AK15" s="319">
        <v>0.06118340225338606</v>
      </c>
    </row>
    <row r="16" spans="2:37" ht="12.75">
      <c r="B16" s="332">
        <v>9</v>
      </c>
      <c r="C16" s="291"/>
      <c r="D16" s="333"/>
      <c r="E16" s="322">
        <v>50</v>
      </c>
      <c r="F16" s="323">
        <f t="shared" si="0"/>
        <v>0.043478260869565216</v>
      </c>
      <c r="G16" s="324">
        <f t="shared" si="1"/>
        <v>1</v>
      </c>
      <c r="H16" s="325">
        <f t="shared" si="2"/>
        <v>0.04868991806510975</v>
      </c>
      <c r="I16" s="297">
        <f t="shared" si="3"/>
        <v>44.45</v>
      </c>
      <c r="J16" s="398">
        <v>0.04871766582230611</v>
      </c>
      <c r="K16" s="326">
        <v>0.049123722961187534</v>
      </c>
      <c r="L16" s="250">
        <f t="shared" si="8"/>
        <v>0.5687554136953145</v>
      </c>
      <c r="M16" s="250">
        <f t="shared" si="9"/>
        <v>0.049123722961187534</v>
      </c>
      <c r="N16" s="327">
        <f t="shared" si="4"/>
        <v>0.06549829728158338</v>
      </c>
      <c r="O16" s="328">
        <f t="shared" si="5"/>
        <v>0.05731101012138545</v>
      </c>
      <c r="P16" s="326">
        <v>0.049123722961187534</v>
      </c>
      <c r="Q16" s="329">
        <f t="shared" si="6"/>
        <v>9</v>
      </c>
      <c r="R16" s="327">
        <f t="shared" si="7"/>
        <v>0.05</v>
      </c>
      <c r="S16" s="401">
        <v>0.04927398528480242</v>
      </c>
      <c r="AE16" s="313">
        <v>0.043478260869565216</v>
      </c>
      <c r="AF16" s="313">
        <v>0.05</v>
      </c>
      <c r="AG16" s="313">
        <v>0.058333333333333334</v>
      </c>
      <c r="AI16" s="313">
        <v>0.049123722961187534</v>
      </c>
      <c r="AJ16" s="319">
        <v>0.04868991806510975</v>
      </c>
      <c r="AK16" s="319">
        <v>0.056962049023133156</v>
      </c>
    </row>
    <row r="17" spans="2:37" ht="12.75">
      <c r="B17" s="330">
        <v>10</v>
      </c>
      <c r="C17" s="331"/>
      <c r="D17" s="333"/>
      <c r="E17" s="322">
        <v>45</v>
      </c>
      <c r="F17" s="323">
        <f t="shared" si="0"/>
        <v>0.043478260869565216</v>
      </c>
      <c r="G17" s="324">
        <f t="shared" si="1"/>
        <v>1</v>
      </c>
      <c r="H17" s="325">
        <f t="shared" si="2"/>
        <v>0.04321298689918065</v>
      </c>
      <c r="I17" s="297">
        <f t="shared" si="3"/>
        <v>39.45</v>
      </c>
      <c r="J17" s="398">
        <v>0.043215581440765205</v>
      </c>
      <c r="K17" s="326">
        <v>0.04319090617843541</v>
      </c>
      <c r="L17" s="250">
        <f t="shared" si="8"/>
        <v>0.6119463198737499</v>
      </c>
      <c r="M17" s="250">
        <f t="shared" si="9"/>
        <v>0.04319090617843541</v>
      </c>
      <c r="N17" s="327">
        <f t="shared" si="4"/>
        <v>0.057587874904580554</v>
      </c>
      <c r="O17" s="328">
        <f t="shared" si="5"/>
        <v>0.05038939054150798</v>
      </c>
      <c r="P17" s="326">
        <v>0.04319090617843541</v>
      </c>
      <c r="Q17" s="329">
        <f t="shared" si="6"/>
        <v>8</v>
      </c>
      <c r="R17" s="327">
        <f t="shared" si="7"/>
        <v>0.044444444444444446</v>
      </c>
      <c r="S17" s="401">
        <v>0.04318325780831263</v>
      </c>
      <c r="AE17" s="313">
        <v>0.043478260869565216</v>
      </c>
      <c r="AF17" s="313">
        <v>0.05</v>
      </c>
      <c r="AG17" s="313">
        <v>0.058333333333333334</v>
      </c>
      <c r="AI17" s="313">
        <v>0.04319090617843541</v>
      </c>
      <c r="AJ17" s="319">
        <v>0.04321298689918065</v>
      </c>
      <c r="AK17" s="319">
        <v>0.05040715270286467</v>
      </c>
    </row>
    <row r="18" spans="2:37" ht="12.75">
      <c r="B18" s="330">
        <v>11</v>
      </c>
      <c r="C18" s="331">
        <v>106</v>
      </c>
      <c r="D18" s="333">
        <v>107</v>
      </c>
      <c r="E18" s="322">
        <v>42.63</v>
      </c>
      <c r="F18" s="323">
        <f t="shared" si="0"/>
        <v>0.043478260869565216</v>
      </c>
      <c r="G18" s="324">
        <f t="shared" si="1"/>
        <v>1</v>
      </c>
      <c r="H18" s="325">
        <f t="shared" si="2"/>
        <v>0.04061692152653025</v>
      </c>
      <c r="I18" s="297">
        <f t="shared" si="3"/>
        <v>37.080000000000005</v>
      </c>
      <c r="J18" s="398">
        <v>0.040616443818214255</v>
      </c>
      <c r="K18" s="326">
        <v>0.040378751023410916</v>
      </c>
      <c r="L18" s="250">
        <f t="shared" si="8"/>
        <v>0.6523250708971609</v>
      </c>
      <c r="M18" s="250">
        <f t="shared" si="9"/>
        <v>0.040378751023410916</v>
      </c>
      <c r="N18" s="327">
        <f t="shared" si="4"/>
        <v>0.05383833469788122</v>
      </c>
      <c r="O18" s="328">
        <f t="shared" si="5"/>
        <v>0.04710854286064607</v>
      </c>
      <c r="P18" s="326">
        <v>0.040378751023410916</v>
      </c>
      <c r="Q18" s="329">
        <f t="shared" si="6"/>
        <v>7</v>
      </c>
      <c r="R18" s="327">
        <f t="shared" si="7"/>
        <v>0.03888888888888889</v>
      </c>
      <c r="S18" s="401">
        <v>0.04029625298445646</v>
      </c>
      <c r="AE18" s="313">
        <v>0.043478260869565216</v>
      </c>
      <c r="AF18" s="313">
        <v>0.05</v>
      </c>
      <c r="AG18" s="313">
        <v>0.058333333333333334</v>
      </c>
      <c r="AI18" s="313">
        <v>0.040378751023410916</v>
      </c>
      <c r="AJ18" s="319">
        <v>0.04061692152653025</v>
      </c>
      <c r="AK18" s="319">
        <v>0.04730013184705741</v>
      </c>
    </row>
    <row r="19" spans="2:37" ht="12.75">
      <c r="B19" s="330">
        <v>12</v>
      </c>
      <c r="C19" s="331"/>
      <c r="D19" s="333"/>
      <c r="E19" s="322">
        <v>42.46</v>
      </c>
      <c r="F19" s="323">
        <f t="shared" si="0"/>
        <v>0.043478260869565216</v>
      </c>
      <c r="G19" s="324">
        <f t="shared" si="1"/>
        <v>1</v>
      </c>
      <c r="H19" s="325">
        <f t="shared" si="2"/>
        <v>0.04043070586688866</v>
      </c>
      <c r="I19" s="297">
        <f t="shared" si="3"/>
        <v>36.910000000000004</v>
      </c>
      <c r="J19" s="398">
        <v>0.0404297678299048</v>
      </c>
      <c r="K19" s="326">
        <v>0.04017703525279734</v>
      </c>
      <c r="L19" s="250">
        <f t="shared" si="8"/>
        <v>0.6925021061499582</v>
      </c>
      <c r="M19" s="250">
        <f t="shared" si="9"/>
        <v>0.04017703525279734</v>
      </c>
      <c r="N19" s="327">
        <f t="shared" si="4"/>
        <v>0.05356938033706312</v>
      </c>
      <c r="O19" s="328">
        <f t="shared" si="5"/>
        <v>0.04687320779493023</v>
      </c>
      <c r="P19" s="326">
        <v>0.04017703525279734</v>
      </c>
      <c r="Q19" s="329">
        <f t="shared" si="6"/>
        <v>7</v>
      </c>
      <c r="R19" s="327">
        <f t="shared" si="7"/>
        <v>0.03888888888888889</v>
      </c>
      <c r="S19" s="401">
        <v>0.040089168250255804</v>
      </c>
      <c r="AE19" s="313">
        <v>0.043478260869565216</v>
      </c>
      <c r="AF19" s="313">
        <v>0.05</v>
      </c>
      <c r="AG19" s="313">
        <v>0.058333333333333334</v>
      </c>
      <c r="AI19" s="313">
        <v>0.04017703525279734</v>
      </c>
      <c r="AJ19" s="319">
        <v>0.04043070586688866</v>
      </c>
      <c r="AK19" s="319">
        <v>0.047077265372168275</v>
      </c>
    </row>
    <row r="20" spans="2:37" ht="12.75">
      <c r="B20" s="320">
        <v>13</v>
      </c>
      <c r="C20" s="334"/>
      <c r="D20" s="335"/>
      <c r="E20" s="322">
        <v>42.26</v>
      </c>
      <c r="F20" s="323">
        <f t="shared" si="0"/>
        <v>0.043478260869565216</v>
      </c>
      <c r="G20" s="324">
        <f t="shared" si="1"/>
        <v>1</v>
      </c>
      <c r="H20" s="325">
        <f t="shared" si="2"/>
        <v>0.040211628620251495</v>
      </c>
      <c r="I20" s="297">
        <f t="shared" si="3"/>
        <v>36.71</v>
      </c>
      <c r="J20" s="398">
        <v>0.04015561714859033</v>
      </c>
      <c r="K20" s="326">
        <v>0.03993972258148725</v>
      </c>
      <c r="L20" s="250">
        <f t="shared" si="8"/>
        <v>0.7324418287314455</v>
      </c>
      <c r="M20" s="250">
        <f t="shared" si="9"/>
        <v>0.03993972258148725</v>
      </c>
      <c r="N20" s="327">
        <f t="shared" si="4"/>
        <v>0.053252963441983</v>
      </c>
      <c r="O20" s="328">
        <f t="shared" si="5"/>
        <v>0.046596343011735125</v>
      </c>
      <c r="P20" s="326">
        <v>0.03993972258148725</v>
      </c>
      <c r="Q20" s="329">
        <f t="shared" si="6"/>
        <v>7</v>
      </c>
      <c r="R20" s="327">
        <f t="shared" si="7"/>
        <v>0.03888888888888889</v>
      </c>
      <c r="S20" s="401">
        <v>0.03984553915119621</v>
      </c>
      <c r="AE20" s="313">
        <v>0.043478260869565216</v>
      </c>
      <c r="AF20" s="313">
        <v>0.05</v>
      </c>
      <c r="AG20" s="313">
        <v>0.058333333333333334</v>
      </c>
      <c r="AI20" s="313">
        <v>0.03993972258148725</v>
      </c>
      <c r="AJ20" s="319">
        <v>0.040211628620251495</v>
      </c>
      <c r="AK20" s="319">
        <v>0.04681506951935753</v>
      </c>
    </row>
    <row r="21" spans="2:37" ht="12.75">
      <c r="B21" s="336">
        <v>14</v>
      </c>
      <c r="C21" s="337">
        <v>9</v>
      </c>
      <c r="D21" s="333">
        <v>108</v>
      </c>
      <c r="E21" s="322">
        <v>39.57</v>
      </c>
      <c r="F21" s="323">
        <f t="shared" si="0"/>
        <v>0.043478260869565216</v>
      </c>
      <c r="G21" s="324">
        <f t="shared" si="1"/>
        <v>1</v>
      </c>
      <c r="H21" s="325">
        <f t="shared" si="2"/>
        <v>0.037265039652981634</v>
      </c>
      <c r="I21" s="297">
        <f t="shared" si="3"/>
        <v>34.02</v>
      </c>
      <c r="J21" s="398">
        <v>0.037318314090458646</v>
      </c>
      <c r="K21" s="326">
        <v>0.036747867152366616</v>
      </c>
      <c r="L21" s="250">
        <f t="shared" si="8"/>
        <v>0.7691896958838121</v>
      </c>
      <c r="M21" s="250">
        <f t="shared" si="9"/>
        <v>0.017558171268554523</v>
      </c>
      <c r="N21" s="327">
        <f t="shared" si="4"/>
        <v>0.023410895024739364</v>
      </c>
      <c r="O21" s="328">
        <f t="shared" si="5"/>
        <v>0.03007938108855299</v>
      </c>
      <c r="P21" s="326">
        <v>0.036747867152366616</v>
      </c>
      <c r="Q21" s="329">
        <f t="shared" si="6"/>
        <v>7</v>
      </c>
      <c r="R21" s="327">
        <f t="shared" si="7"/>
        <v>0.03888888888888889</v>
      </c>
      <c r="S21" s="401">
        <v>0.036568727768844705</v>
      </c>
      <c r="AE21" s="313">
        <v>0.043478260869565216</v>
      </c>
      <c r="AF21" s="313">
        <v>0.05</v>
      </c>
      <c r="AG21" s="313">
        <v>0.058333333333333334</v>
      </c>
      <c r="AI21" s="313">
        <v>0.036747867152366616</v>
      </c>
      <c r="AJ21" s="319">
        <v>0.037265039652981634</v>
      </c>
      <c r="AK21" s="319">
        <v>0.03616429941268135</v>
      </c>
    </row>
    <row r="22" spans="2:37" ht="12.75">
      <c r="B22" s="330">
        <v>15</v>
      </c>
      <c r="C22" s="338"/>
      <c r="D22" s="333"/>
      <c r="E22" s="322">
        <v>35.79</v>
      </c>
      <c r="F22" s="323">
        <f t="shared" si="0"/>
        <v>0.043478260869565216</v>
      </c>
      <c r="G22" s="324">
        <f t="shared" si="1"/>
        <v>1</v>
      </c>
      <c r="H22" s="325">
        <f t="shared" si="2"/>
        <v>0.03312447969153923</v>
      </c>
      <c r="I22" s="297">
        <f t="shared" si="3"/>
        <v>30.24</v>
      </c>
      <c r="J22" s="398">
        <v>0.03310904765867871</v>
      </c>
      <c r="K22" s="326">
        <v>0.03226265766460601</v>
      </c>
      <c r="L22" s="250">
        <f t="shared" si="8"/>
        <v>0.8014523535484182</v>
      </c>
      <c r="M22" s="250">
        <f t="shared" si="9"/>
        <v>-0.01918969588381214</v>
      </c>
      <c r="N22" s="327">
        <f t="shared" si="4"/>
        <v>0</v>
      </c>
      <c r="O22" s="328">
        <f t="shared" si="5"/>
        <v>0.016131328832303005</v>
      </c>
      <c r="P22" s="326">
        <v>0.03226265766460601</v>
      </c>
      <c r="Q22" s="329">
        <f t="shared" si="6"/>
        <v>6</v>
      </c>
      <c r="R22" s="327">
        <f t="shared" si="7"/>
        <v>0.03333333333333333</v>
      </c>
      <c r="S22" s="401">
        <v>0.03196413779661842</v>
      </c>
      <c r="AE22" s="313">
        <v>0.043478260869565216</v>
      </c>
      <c r="AF22" s="313">
        <v>0.05</v>
      </c>
      <c r="AG22" s="313">
        <v>0.05833333333333329</v>
      </c>
      <c r="AI22" s="313">
        <v>0.03226265766460601</v>
      </c>
      <c r="AJ22" s="319">
        <v>0.03312447969153923</v>
      </c>
      <c r="AK22" s="319">
        <v>0.016428443006112906</v>
      </c>
    </row>
    <row r="23" spans="2:37" ht="12.75">
      <c r="B23" s="330">
        <v>16</v>
      </c>
      <c r="C23" s="331"/>
      <c r="D23" s="321"/>
      <c r="E23" s="322">
        <v>33.45</v>
      </c>
      <c r="F23" s="323">
        <f t="shared" si="0"/>
        <v>0.043478260869565216</v>
      </c>
      <c r="G23" s="324">
        <f t="shared" si="1"/>
        <v>1</v>
      </c>
      <c r="H23" s="325">
        <f t="shared" si="2"/>
        <v>0.03056127590588441</v>
      </c>
      <c r="I23" s="297">
        <f t="shared" si="3"/>
        <v>27.900000000000002</v>
      </c>
      <c r="J23" s="398">
        <v>0.030551125737451314</v>
      </c>
      <c r="K23" s="326">
        <v>0.029486099410278025</v>
      </c>
      <c r="L23" s="250">
        <f t="shared" si="8"/>
        <v>0.8309384529586962</v>
      </c>
      <c r="M23" s="250">
        <f t="shared" si="9"/>
        <v>-0.05145235354841815</v>
      </c>
      <c r="N23" s="327">
        <f t="shared" si="4"/>
        <v>0</v>
      </c>
      <c r="O23" s="328">
        <f t="shared" si="5"/>
        <v>0.014743049705139013</v>
      </c>
      <c r="P23" s="326">
        <v>0.029486099410278025</v>
      </c>
      <c r="Q23" s="329">
        <f t="shared" si="6"/>
        <v>5</v>
      </c>
      <c r="R23" s="327">
        <f t="shared" si="7"/>
        <v>0.027777777777777776</v>
      </c>
      <c r="S23" s="401">
        <v>0.029113677337621206</v>
      </c>
      <c r="AE23" s="313">
        <v>0.043478260869565216</v>
      </c>
      <c r="AF23" s="313">
        <v>0.05</v>
      </c>
      <c r="AG23" s="313">
        <v>0.025</v>
      </c>
      <c r="AI23" s="313">
        <v>0.029486099410278025</v>
      </c>
      <c r="AJ23" s="319">
        <v>0.03056127590588441</v>
      </c>
      <c r="AK23" s="319">
        <v>0.015113718087019055</v>
      </c>
    </row>
    <row r="24" spans="2:37" ht="12.75">
      <c r="B24" s="330">
        <v>17</v>
      </c>
      <c r="C24" s="331"/>
      <c r="D24" s="321"/>
      <c r="E24" s="322">
        <v>32.62</v>
      </c>
      <c r="F24" s="323">
        <f t="shared" si="0"/>
        <v>0.043478260869565216</v>
      </c>
      <c r="G24" s="324">
        <f t="shared" si="1"/>
        <v>1</v>
      </c>
      <c r="H24" s="325">
        <f t="shared" si="2"/>
        <v>0.029652105332340174</v>
      </c>
      <c r="I24" s="297">
        <f t="shared" si="3"/>
        <v>27.069999999999997</v>
      </c>
      <c r="J24" s="398">
        <v>0.02964524726542511</v>
      </c>
      <c r="K24" s="326">
        <v>0.028501251824341167</v>
      </c>
      <c r="L24" s="250">
        <f t="shared" si="8"/>
        <v>0.8594397047830373</v>
      </c>
      <c r="M24" s="250">
        <f t="shared" si="9"/>
        <v>-0.08093845295869617</v>
      </c>
      <c r="N24" s="327">
        <f t="shared" si="4"/>
        <v>0</v>
      </c>
      <c r="O24" s="328">
        <f t="shared" si="5"/>
        <v>0.014250625912170583</v>
      </c>
      <c r="P24" s="326">
        <v>0.028501251824341167</v>
      </c>
      <c r="Q24" s="329">
        <f t="shared" si="6"/>
        <v>5</v>
      </c>
      <c r="R24" s="327">
        <f t="shared" si="7"/>
        <v>0.027777777777777776</v>
      </c>
      <c r="S24" s="401">
        <v>0.028102616576523895</v>
      </c>
      <c r="AE24" s="313">
        <v>0.043478260869565216</v>
      </c>
      <c r="AF24" s="313">
        <v>0.05</v>
      </c>
      <c r="AG24" s="313">
        <v>0.025</v>
      </c>
      <c r="AI24" s="313">
        <v>0.028501251824341167</v>
      </c>
      <c r="AJ24" s="319">
        <v>0.029652105332340174</v>
      </c>
      <c r="AK24" s="319">
        <v>0.014647384034519952</v>
      </c>
    </row>
    <row r="25" spans="2:37" ht="12.75">
      <c r="B25" s="330">
        <v>18</v>
      </c>
      <c r="C25" s="338"/>
      <c r="D25" s="321"/>
      <c r="E25" s="322">
        <v>31.52</v>
      </c>
      <c r="F25" s="323">
        <f t="shared" si="0"/>
        <v>0.043478260869565216</v>
      </c>
      <c r="G25" s="324">
        <f t="shared" si="1"/>
        <v>1</v>
      </c>
      <c r="H25" s="325">
        <f t="shared" si="2"/>
        <v>0.028447180475835773</v>
      </c>
      <c r="I25" s="297">
        <f t="shared" si="3"/>
        <v>25.97</v>
      </c>
      <c r="J25" s="398">
        <v>0.028441165290765257</v>
      </c>
      <c r="K25" s="326">
        <v>0.02719603213213571</v>
      </c>
      <c r="L25" s="250">
        <f t="shared" si="8"/>
        <v>0.8866357369151731</v>
      </c>
      <c r="M25" s="250">
        <f t="shared" si="9"/>
        <v>-0.10943970478303733</v>
      </c>
      <c r="N25" s="327">
        <f t="shared" si="4"/>
        <v>0</v>
      </c>
      <c r="O25" s="328">
        <f t="shared" si="5"/>
        <v>0.013598016066067855</v>
      </c>
      <c r="P25" s="326">
        <v>0.02719603213213571</v>
      </c>
      <c r="Q25" s="329">
        <f t="shared" si="6"/>
        <v>5</v>
      </c>
      <c r="R25" s="327">
        <f t="shared" si="7"/>
        <v>0.027777777777777776</v>
      </c>
      <c r="S25" s="401">
        <v>0.02676265653169614</v>
      </c>
      <c r="AE25" s="313">
        <v>0.043478260869565216</v>
      </c>
      <c r="AF25" s="313">
        <v>0.05</v>
      </c>
      <c r="AG25" s="313">
        <v>0.025</v>
      </c>
      <c r="AI25" s="313">
        <v>0.02719603213213571</v>
      </c>
      <c r="AJ25" s="319">
        <v>0.028447180475835773</v>
      </c>
      <c r="AK25" s="319">
        <v>0.01402935095289464</v>
      </c>
    </row>
    <row r="26" spans="2:37" ht="12.75">
      <c r="B26" s="339">
        <v>19</v>
      </c>
      <c r="C26" s="291">
        <v>109</v>
      </c>
      <c r="D26" s="340">
        <v>110</v>
      </c>
      <c r="E26" s="322">
        <v>31.28</v>
      </c>
      <c r="F26" s="323">
        <f t="shared" si="0"/>
        <v>0.043478260869565216</v>
      </c>
      <c r="G26" s="324">
        <f t="shared" si="1"/>
        <v>1</v>
      </c>
      <c r="H26" s="325">
        <f t="shared" si="2"/>
        <v>0.028184287779871177</v>
      </c>
      <c r="I26" s="297">
        <f t="shared" si="3"/>
        <v>25.73</v>
      </c>
      <c r="J26" s="398">
        <v>0.028198524190473098</v>
      </c>
      <c r="K26" s="326">
        <v>0.026911256926563605</v>
      </c>
      <c r="L26" s="250">
        <f t="shared" si="8"/>
        <v>0.9135469938417367</v>
      </c>
      <c r="M26" s="250">
        <f t="shared" si="9"/>
        <v>-0.13663573691517306</v>
      </c>
      <c r="N26" s="327">
        <f t="shared" si="4"/>
        <v>0</v>
      </c>
      <c r="O26" s="328">
        <f t="shared" si="5"/>
        <v>0.013455628463281803</v>
      </c>
      <c r="P26" s="326">
        <v>0.026911256926563605</v>
      </c>
      <c r="Q26" s="329">
        <f t="shared" si="6"/>
        <v>5</v>
      </c>
      <c r="R26" s="327">
        <f t="shared" si="7"/>
        <v>0.027777777777777776</v>
      </c>
      <c r="S26" s="401">
        <v>0.026470301612824633</v>
      </c>
      <c r="AE26" s="313">
        <v>0.043478260869565216</v>
      </c>
      <c r="AF26" s="313">
        <v>0.05</v>
      </c>
      <c r="AG26" s="313">
        <v>0.025</v>
      </c>
      <c r="AI26" s="313">
        <v>0.026911256926563605</v>
      </c>
      <c r="AJ26" s="319">
        <v>0.028184287779871177</v>
      </c>
      <c r="AK26" s="319">
        <v>0.013894507371449117</v>
      </c>
    </row>
    <row r="27" spans="2:37" ht="12.75">
      <c r="B27" s="339">
        <v>20</v>
      </c>
      <c r="C27" s="341">
        <v>110</v>
      </c>
      <c r="D27" s="333" t="s">
        <v>243</v>
      </c>
      <c r="E27" s="322">
        <v>29.71</v>
      </c>
      <c r="F27" s="323">
        <f t="shared" si="0"/>
        <v>0.043478260869565216</v>
      </c>
      <c r="G27" s="324">
        <f t="shared" si="1"/>
        <v>1</v>
      </c>
      <c r="H27" s="325">
        <f t="shared" si="2"/>
        <v>0.026464531393769437</v>
      </c>
      <c r="I27" s="297">
        <f t="shared" si="3"/>
        <v>24.16</v>
      </c>
      <c r="J27" s="398">
        <v>0.02651592988772766</v>
      </c>
      <c r="K27" s="326">
        <v>0.02504835245677944</v>
      </c>
      <c r="L27" s="250">
        <f t="shared" si="8"/>
        <v>0.938595346298516</v>
      </c>
      <c r="M27" s="250">
        <f t="shared" si="9"/>
        <v>-0.16354699384173665</v>
      </c>
      <c r="N27" s="327">
        <f t="shared" si="4"/>
        <v>0</v>
      </c>
      <c r="O27" s="328">
        <f t="shared" si="5"/>
        <v>0.01252417622838972</v>
      </c>
      <c r="P27" s="326">
        <v>0.02504835245677944</v>
      </c>
      <c r="Q27" s="329">
        <f t="shared" si="6"/>
        <v>4</v>
      </c>
      <c r="R27" s="327">
        <f t="shared" si="7"/>
        <v>0.022222222222222223</v>
      </c>
      <c r="S27" s="401">
        <v>0.02455781318520684</v>
      </c>
      <c r="AE27" s="313">
        <v>0.043478260869565216</v>
      </c>
      <c r="AF27" s="313">
        <v>0.05</v>
      </c>
      <c r="AG27" s="313">
        <v>0.025</v>
      </c>
      <c r="AI27" s="313">
        <v>0.02504835245677944</v>
      </c>
      <c r="AJ27" s="319">
        <v>0.026464531393769437</v>
      </c>
      <c r="AK27" s="319">
        <v>0.013012405609492985</v>
      </c>
    </row>
    <row r="28" spans="2:37" ht="12.75">
      <c r="B28" s="330">
        <v>21</v>
      </c>
      <c r="C28" s="331">
        <v>111</v>
      </c>
      <c r="D28" s="333">
        <v>112</v>
      </c>
      <c r="E28" s="322">
        <v>26.5</v>
      </c>
      <c r="F28" s="323">
        <f t="shared" si="0"/>
        <v>0.043478260869565216</v>
      </c>
      <c r="G28" s="324">
        <f t="shared" si="1"/>
        <v>1</v>
      </c>
      <c r="H28" s="325">
        <f t="shared" si="2"/>
        <v>0.022948341585242952</v>
      </c>
      <c r="I28" s="297">
        <f t="shared" si="3"/>
        <v>20.95</v>
      </c>
      <c r="J28" s="398">
        <v>0.022931460707821774</v>
      </c>
      <c r="K28" s="326">
        <v>0.02123948408225258</v>
      </c>
      <c r="L28" s="250">
        <f t="shared" si="8"/>
        <v>0.9598348303807687</v>
      </c>
      <c r="M28" s="250">
        <f t="shared" si="9"/>
        <v>-0.18859534629851604</v>
      </c>
      <c r="N28" s="327">
        <f t="shared" si="4"/>
        <v>0</v>
      </c>
      <c r="O28" s="328">
        <f t="shared" si="5"/>
        <v>0.01061974204112629</v>
      </c>
      <c r="P28" s="326">
        <v>0.02123948408225258</v>
      </c>
      <c r="Q28" s="329">
        <f t="shared" si="6"/>
        <v>4</v>
      </c>
      <c r="R28" s="327">
        <f t="shared" si="7"/>
        <v>0.022222222222222223</v>
      </c>
      <c r="S28" s="401">
        <v>0.020647566145300392</v>
      </c>
      <c r="AE28" s="313">
        <v>0.043478260869565216</v>
      </c>
      <c r="AF28" s="313">
        <v>0</v>
      </c>
      <c r="AG28" s="313">
        <v>0</v>
      </c>
      <c r="AI28" s="313">
        <v>0.02123948408225258</v>
      </c>
      <c r="AJ28" s="319">
        <v>0.022948341585242952</v>
      </c>
      <c r="AK28" s="319">
        <v>0.011208872707659114</v>
      </c>
    </row>
    <row r="29" spans="2:37" ht="12.75">
      <c r="B29" s="330">
        <v>22</v>
      </c>
      <c r="C29" s="331">
        <v>113</v>
      </c>
      <c r="D29" s="333" t="s">
        <v>243</v>
      </c>
      <c r="E29" s="322">
        <v>26.15</v>
      </c>
      <c r="F29" s="323">
        <f t="shared" si="0"/>
        <v>0.043478260869565216</v>
      </c>
      <c r="G29" s="324">
        <f t="shared" si="1"/>
        <v>1</v>
      </c>
      <c r="H29" s="325">
        <f t="shared" si="2"/>
        <v>0.022564956403627913</v>
      </c>
      <c r="I29" s="297">
        <f t="shared" si="3"/>
        <v>20.599999999999998</v>
      </c>
      <c r="J29" s="398">
        <v>0.02254353121063402</v>
      </c>
      <c r="K29" s="326">
        <v>0.020824186907459928</v>
      </c>
      <c r="L29" s="250">
        <f t="shared" si="8"/>
        <v>0.9806590172882286</v>
      </c>
      <c r="M29" s="250">
        <f t="shared" si="9"/>
        <v>-0.20983483038076867</v>
      </c>
      <c r="N29" s="327">
        <f t="shared" si="4"/>
        <v>0</v>
      </c>
      <c r="O29" s="328">
        <f t="shared" si="5"/>
        <v>0.010412093453729964</v>
      </c>
      <c r="P29" s="326">
        <v>0.020824186907459928</v>
      </c>
      <c r="Q29" s="329">
        <f t="shared" si="6"/>
        <v>4</v>
      </c>
      <c r="R29" s="327">
        <f t="shared" si="7"/>
        <v>0.022222222222222223</v>
      </c>
      <c r="S29" s="401">
        <v>0.020221215221946105</v>
      </c>
      <c r="AE29" s="313">
        <v>0.043478260869565216</v>
      </c>
      <c r="AF29" s="313">
        <v>0</v>
      </c>
      <c r="AG29" s="313">
        <v>0</v>
      </c>
      <c r="AI29" s="313">
        <v>0.020824186907459928</v>
      </c>
      <c r="AJ29" s="319">
        <v>0.022564956403627913</v>
      </c>
      <c r="AK29" s="319">
        <v>0.011012225818051058</v>
      </c>
    </row>
    <row r="30" spans="2:37" ht="13.5" thickBot="1">
      <c r="B30" s="342">
        <v>23</v>
      </c>
      <c r="C30" s="230">
        <v>114</v>
      </c>
      <c r="D30" s="343">
        <v>110</v>
      </c>
      <c r="E30" s="344">
        <v>24.9</v>
      </c>
      <c r="F30" s="345">
        <f t="shared" si="0"/>
        <v>0.043478260869565216</v>
      </c>
      <c r="G30" s="346">
        <f t="shared" si="1"/>
        <v>1</v>
      </c>
      <c r="H30" s="347">
        <f t="shared" si="2"/>
        <v>0.021195723612145636</v>
      </c>
      <c r="I30" s="348">
        <f t="shared" si="3"/>
        <v>19.349999999999998</v>
      </c>
      <c r="J30" s="399">
        <v>0.02120031982769028</v>
      </c>
      <c r="K30" s="349">
        <v>0.0193409827117719</v>
      </c>
      <c r="L30" s="350">
        <f t="shared" si="8"/>
        <v>1.0000000000000004</v>
      </c>
      <c r="M30" s="350">
        <f t="shared" si="9"/>
        <v>-0.23065901728822857</v>
      </c>
      <c r="N30" s="351">
        <f t="shared" si="4"/>
        <v>0</v>
      </c>
      <c r="O30" s="352">
        <f t="shared" si="5"/>
        <v>0.00967049135588595</v>
      </c>
      <c r="P30" s="326">
        <v>0.0193409827117719</v>
      </c>
      <c r="Q30" s="329">
        <f t="shared" si="6"/>
        <v>3</v>
      </c>
      <c r="R30" s="327">
        <f t="shared" si="7"/>
        <v>0.016666666666666666</v>
      </c>
      <c r="S30" s="402">
        <v>0.018698533352823656</v>
      </c>
      <c r="AE30" s="313">
        <v>0.043478260869565216</v>
      </c>
      <c r="AF30" s="313">
        <v>0</v>
      </c>
      <c r="AG30" s="313">
        <v>0</v>
      </c>
      <c r="AI30" s="313">
        <v>0.0193409827117719</v>
      </c>
      <c r="AJ30" s="319">
        <v>0.021195723612145636</v>
      </c>
      <c r="AK30" s="319">
        <v>0.010309915498022291</v>
      </c>
    </row>
    <row r="31" spans="4:37" ht="13.5" thickBot="1">
      <c r="D31" s="23" t="s">
        <v>244</v>
      </c>
      <c r="E31" s="353">
        <f>AVERAGE(E8:E30)</f>
        <v>45.24217391304349</v>
      </c>
      <c r="F31" s="354">
        <f>SUMPRODUCT($E8:$E30,F8:F30)</f>
        <v>45.24217391304348</v>
      </c>
      <c r="G31" s="281"/>
      <c r="H31" s="82">
        <f>SUMPRODUCT($E8:$E30,H8:H30)</f>
        <v>51.19542610524469</v>
      </c>
      <c r="I31" s="288"/>
      <c r="J31" s="355">
        <f>SUMPRODUCT($E8:$E30,J8:J30)</f>
        <v>51.195728952384336</v>
      </c>
      <c r="K31" s="354">
        <f>SUMPRODUCT($E8:$E30,K8:K30)</f>
        <v>51.69095945513013</v>
      </c>
      <c r="L31" s="283"/>
      <c r="M31" s="283"/>
      <c r="N31" s="356">
        <f>SUMPRODUCT($E8:$E30,N8:N30)</f>
        <v>58.43832390015466</v>
      </c>
      <c r="O31" s="357">
        <f>SUMPRODUCT($E8:$E30,O8:O30)</f>
        <v>55.06464167764238</v>
      </c>
      <c r="P31" s="354">
        <f>SUMPRODUCT($E8:$E30,P8:P30)</f>
        <v>51.69095945513013</v>
      </c>
      <c r="Q31" s="358">
        <f>SUM(Q8:Q30)</f>
        <v>180</v>
      </c>
      <c r="R31" s="357">
        <f>SUMPRODUCT($E8:$E30,R8:R30)</f>
        <v>51.8138888888889</v>
      </c>
      <c r="S31" s="403">
        <f>SUMPRODUCT($E8:$E30,S8:S30)</f>
        <v>51.862603420552546</v>
      </c>
      <c r="AE31" s="359">
        <f>SUMPRODUCT($E8:$E30,AE8:AE30)</f>
        <v>45.24217391304348</v>
      </c>
      <c r="AF31" s="359">
        <f>SUMPRODUCT($E8:$E30,AF8:AF30)</f>
        <v>48.150999999999996</v>
      </c>
      <c r="AG31" s="359">
        <f>SUMPRODUCT($E8:$E30,AG8:AG30)</f>
        <v>50.89016666666666</v>
      </c>
      <c r="AI31" s="359">
        <f>SUMPRODUCT($E8:$E30,AI8:AI30)</f>
        <v>51.69095945513013</v>
      </c>
      <c r="AJ31" s="359">
        <f>SUMPRODUCT($E8:$E30,AJ8:AJ30)</f>
        <v>51.19542610524469</v>
      </c>
      <c r="AK31" s="359">
        <f>SUMPRODUCT($E8:$E30,AK8:AK30)</f>
        <v>54.72363515821646</v>
      </c>
    </row>
    <row r="32" spans="5:36" ht="13.5" thickBot="1">
      <c r="E32" s="23" t="s">
        <v>245</v>
      </c>
      <c r="F32" s="82">
        <f>F31-$E$5*F34</f>
        <v>44.88773156899811</v>
      </c>
      <c r="G32" s="288"/>
      <c r="H32" s="82">
        <f>H31-$E$5*H34</f>
        <v>50.98793602935134</v>
      </c>
      <c r="I32" s="288"/>
      <c r="J32" s="360">
        <f>J31-$E$5*J34</f>
        <v>50.987836590165</v>
      </c>
      <c r="K32" s="289"/>
      <c r="L32" s="350">
        <f>SUM(K8:K30)</f>
        <v>1.0000000000000004</v>
      </c>
      <c r="M32" s="350">
        <f>SUM(N8:N30)</f>
        <v>1</v>
      </c>
      <c r="N32" s="40"/>
      <c r="O32" s="288"/>
      <c r="P32" s="82">
        <f>P31-$E$5*P34</f>
        <v>51.49260633089913</v>
      </c>
      <c r="Q32" s="187">
        <v>4.6</v>
      </c>
      <c r="R32" s="84">
        <f>R31-$E$5*R34</f>
        <v>51.613657407407416</v>
      </c>
      <c r="S32" s="360">
        <f>S31-$E$5*S34</f>
        <v>51.66730426293835</v>
      </c>
      <c r="AE32" s="359">
        <f>AE31-$E$5*AE34</f>
        <v>44.88773156899811</v>
      </c>
      <c r="AF32" s="359">
        <f>AF31-$E$5*AF34</f>
        <v>47.869749999999996</v>
      </c>
      <c r="AI32" s="359">
        <f>AI31-$E$5*AI34</f>
        <v>51.49260633089913</v>
      </c>
      <c r="AJ32" s="359">
        <f>AJ31-$E$5*AJ34</f>
        <v>50.98793602935134</v>
      </c>
    </row>
    <row r="33" spans="5:37" ht="13.5" thickBot="1">
      <c r="E33" s="23" t="s">
        <v>246</v>
      </c>
      <c r="F33" s="82">
        <f>0.5/(F34+F35)</f>
        <v>20.74509803921569</v>
      </c>
      <c r="G33" s="288"/>
      <c r="H33" s="82">
        <f>0.5/(H34+H35)</f>
        <v>18.9516314856441</v>
      </c>
      <c r="I33" s="288"/>
      <c r="J33" s="360">
        <f>0.5/(J34+J35)</f>
        <v>18.94946152402192</v>
      </c>
      <c r="K33" s="82">
        <f>0.5/(K34+K35)</f>
        <v>18.596049646991165</v>
      </c>
      <c r="L33" s="40"/>
      <c r="M33" s="40"/>
      <c r="N33" s="83">
        <f>0.5/(N34+N35)</f>
        <v>12.534027533078197</v>
      </c>
      <c r="O33" s="84">
        <f>0.5/(O34+O35)</f>
        <v>15.662486714805429</v>
      </c>
      <c r="P33" s="82">
        <f>0.5/(P34+P35)</f>
        <v>18.596049646991165</v>
      </c>
      <c r="Q33" s="40"/>
      <c r="R33" s="84">
        <f>0.5/(R34+R35)</f>
        <v>18.46679965802223</v>
      </c>
      <c r="S33" s="403">
        <f>0.5/(S34+S35)</f>
        <v>18.468279320096592</v>
      </c>
      <c r="AE33" s="359">
        <f>0.5/(AE34+AE35)</f>
        <v>20.74509803921569</v>
      </c>
      <c r="AF33" s="361">
        <f>0.5/(AF34+AF35)</f>
        <v>18.604651162790685</v>
      </c>
      <c r="AG33" s="359">
        <f>0.5/(AG34+AG35)</f>
        <v>17.27654469106179</v>
      </c>
      <c r="AI33" s="361">
        <f>0.5/(AI34+AI35)</f>
        <v>18.596049646991165</v>
      </c>
      <c r="AJ33" s="359">
        <f>0.5/(AJ34+AJ35)</f>
        <v>18.9516314856441</v>
      </c>
      <c r="AK33" s="359">
        <f>0.5/(AK34+AK35)</f>
        <v>15.868213753417029</v>
      </c>
    </row>
    <row r="34" spans="4:37" ht="12.75">
      <c r="D34" s="23"/>
      <c r="E34" s="23" t="s">
        <v>247</v>
      </c>
      <c r="F34" s="362">
        <f>F39+F38</f>
        <v>0.0023629489603024575</v>
      </c>
      <c r="G34" s="288"/>
      <c r="H34" s="362">
        <f>H39+H38</f>
        <v>0.001383267172622382</v>
      </c>
      <c r="I34" s="288"/>
      <c r="J34" s="363">
        <f>J39+J38</f>
        <v>0.0013859490814622374</v>
      </c>
      <c r="K34" s="362">
        <f>K39+K38</f>
        <v>0.0013223541615399832</v>
      </c>
      <c r="L34" s="40"/>
      <c r="M34" s="40"/>
      <c r="N34" s="364">
        <f>N39+N38</f>
        <v>0.0007666868809791601</v>
      </c>
      <c r="O34" s="365">
        <f>O39+O38</f>
        <v>0.0009668793917146085</v>
      </c>
      <c r="P34" s="362">
        <f>P39+P38</f>
        <v>0.0013223541615399832</v>
      </c>
      <c r="Q34" s="40"/>
      <c r="R34" s="365">
        <f>R39+R38</f>
        <v>0.0013348765432098766</v>
      </c>
      <c r="S34" s="363">
        <f>S39+S38</f>
        <v>0.0013019943840946327</v>
      </c>
      <c r="AE34" s="366">
        <f>AE39+AE38</f>
        <v>0.0023629489603024575</v>
      </c>
      <c r="AF34" s="366">
        <f>AF39+AF38</f>
        <v>0.0018750000000000004</v>
      </c>
      <c r="AG34" s="366">
        <f>AG39+AG38</f>
        <v>0.0018576388888888891</v>
      </c>
      <c r="AI34" s="366">
        <f>AI39+AI38</f>
        <v>0.0013223541615399832</v>
      </c>
      <c r="AJ34" s="366">
        <f>AJ39+AJ38</f>
        <v>0.001383267172622382</v>
      </c>
      <c r="AK34" s="366">
        <f>AK39+AK38</f>
        <v>0.0011445485392180949</v>
      </c>
    </row>
    <row r="35" spans="4:37" ht="13.5" thickBot="1">
      <c r="D35" s="23"/>
      <c r="E35" s="23" t="s">
        <v>248</v>
      </c>
      <c r="F35" s="362">
        <f>0.5*SUMSQ(F8:F30)</f>
        <v>0.021739130434782605</v>
      </c>
      <c r="G35" s="288"/>
      <c r="H35" s="362">
        <f>0.5*SUMSQ(H8:H30)</f>
        <v>0.02499968568179287</v>
      </c>
      <c r="I35" s="288"/>
      <c r="J35" s="363">
        <f>0.5*SUMSQ(J8:J30)</f>
        <v>0.02500002496672685</v>
      </c>
      <c r="K35" s="362">
        <f>0.5*SUMSQ(K8:K30)</f>
        <v>0.025565076744028706</v>
      </c>
      <c r="L35" s="40"/>
      <c r="M35" s="40"/>
      <c r="N35" s="364">
        <f>0.5*SUMSQ(N8:N30)</f>
        <v>0.03912472062394806</v>
      </c>
      <c r="O35" s="365">
        <f>0.5*SUMSQ(O8:O30)</f>
        <v>0.030956531564947865</v>
      </c>
      <c r="P35" s="362">
        <f>0.5*SUMSQ(P8:P30)</f>
        <v>0.025565076744028706</v>
      </c>
      <c r="Q35" s="40"/>
      <c r="R35" s="365">
        <f>0.5*SUMSQ(R8:R30)</f>
        <v>0.025740740740740745</v>
      </c>
      <c r="S35" s="363">
        <f>0.5*SUMSQ(S8:S30)</f>
        <v>0.025771453625537535</v>
      </c>
      <c r="AE35" s="366">
        <f>0.5*SUMSQ(AE8:AE30)</f>
        <v>0.021739130434782605</v>
      </c>
      <c r="AF35" s="366">
        <f>0.5*SUMSQ(AF8:AF30)</f>
        <v>0.025000000000000015</v>
      </c>
      <c r="AG35" s="366">
        <f>0.5*SUMSQ(AG8:AG30)</f>
        <v>0.02708333333333333</v>
      </c>
      <c r="AI35" s="366">
        <f>0.5*SUMSQ(AI8:AI30)</f>
        <v>0.025565076744028706</v>
      </c>
      <c r="AJ35" s="366">
        <f>0.5*SUMSQ(AJ8:AJ30)</f>
        <v>0.02499968568179287</v>
      </c>
      <c r="AK35" s="366">
        <f>0.5*SUMSQ(AK8:AK30)</f>
        <v>0.030364984151084302</v>
      </c>
    </row>
    <row r="36" spans="5:37" ht="13.5" thickBot="1">
      <c r="E36" s="23" t="s">
        <v>249</v>
      </c>
      <c r="F36" s="367">
        <f>0.5/F35</f>
        <v>23.000000000000004</v>
      </c>
      <c r="G36" s="288"/>
      <c r="H36" s="367">
        <f>0.5/H35</f>
        <v>20.000251457727213</v>
      </c>
      <c r="I36" s="288"/>
      <c r="J36" s="368">
        <f>0.5/J35</f>
        <v>19.999980026638465</v>
      </c>
      <c r="K36" s="369">
        <f>0.5/K35</f>
        <v>19.55793072738521</v>
      </c>
      <c r="L36" s="40"/>
      <c r="M36" s="40"/>
      <c r="N36" s="370">
        <f>0.5/N35</f>
        <v>12.779643970005814</v>
      </c>
      <c r="O36" s="371">
        <f>0.5/O35</f>
        <v>16.151680266601666</v>
      </c>
      <c r="P36" s="367">
        <f>0.5/P35</f>
        <v>19.55793072738521</v>
      </c>
      <c r="Q36" s="40"/>
      <c r="R36" s="371">
        <f>0.5/R35</f>
        <v>19.424460431654673</v>
      </c>
      <c r="S36" s="368">
        <f>0.5/S35</f>
        <v>19.401311515642963</v>
      </c>
      <c r="AE36" s="372">
        <f>0.5/AE35</f>
        <v>23.000000000000004</v>
      </c>
      <c r="AF36" s="373">
        <f>0.5/AF35</f>
        <v>19.99999999999999</v>
      </c>
      <c r="AG36" s="372">
        <f>0.5/AG35</f>
        <v>18.461538461538463</v>
      </c>
      <c r="AI36" s="372">
        <f>0.5/AI35</f>
        <v>19.55793072738521</v>
      </c>
      <c r="AJ36" s="373">
        <f>0.5/AJ35</f>
        <v>20.000251457727213</v>
      </c>
      <c r="AK36" s="372">
        <f>0.5/AK35</f>
        <v>16.46633495713995</v>
      </c>
    </row>
    <row r="37" spans="4:37" ht="12.75" customHeight="1" hidden="1">
      <c r="D37" s="23"/>
      <c r="E37" s="23" t="s">
        <v>250</v>
      </c>
      <c r="F37" s="374">
        <f>SUM(F8:F30)</f>
        <v>0.9999999999999996</v>
      </c>
      <c r="G37" s="288"/>
      <c r="H37" s="374">
        <f>SUM(H8:H30)</f>
        <v>0.9999999999999998</v>
      </c>
      <c r="I37" s="288"/>
      <c r="J37" s="375">
        <f>SUM(J8:J30)</f>
        <v>1.0000000000068145</v>
      </c>
      <c r="K37" s="374">
        <f>SUM(K8:K30)</f>
        <v>1.0000000000000004</v>
      </c>
      <c r="L37" s="40"/>
      <c r="M37" s="40"/>
      <c r="N37" s="376">
        <f>SUM(N8:N30)</f>
        <v>1</v>
      </c>
      <c r="O37" s="377">
        <f>SUM(O8:O30)</f>
        <v>1.0000000000000002</v>
      </c>
      <c r="P37" s="374">
        <f>SUM(P8:P30)</f>
        <v>1.0000000000000004</v>
      </c>
      <c r="Q37" s="40"/>
      <c r="R37" s="377">
        <f>SUM(R8:R30)</f>
        <v>1</v>
      </c>
      <c r="S37" s="404">
        <f>SUM(S8:S30)</f>
        <v>0.9999999999999999</v>
      </c>
      <c r="AE37" s="378">
        <f>SUM(AE8:AE30)</f>
        <v>0.9999999999999996</v>
      </c>
      <c r="AF37" s="378">
        <f>SUM(AF8:AF30)</f>
        <v>1.0000000000000002</v>
      </c>
      <c r="AG37" s="378">
        <f>SUM(AG8:AG30)</f>
        <v>1</v>
      </c>
      <c r="AI37" s="378">
        <f>SUM(AI8:AI30)</f>
        <v>1.0000000000000004</v>
      </c>
      <c r="AJ37" s="378">
        <f>SUM(AJ8:AJ30)</f>
        <v>0.9999999999999998</v>
      </c>
      <c r="AK37" s="378">
        <f>SUM(AK8:AK30)</f>
        <v>0.9999999999999999</v>
      </c>
    </row>
    <row r="38" spans="5:37" ht="12.75">
      <c r="E38" s="23" t="s">
        <v>251</v>
      </c>
      <c r="F38" s="379">
        <f>2*0.25*F$16*F$21</f>
        <v>0.0009451795841209829</v>
      </c>
      <c r="G38" s="288"/>
      <c r="H38" s="379">
        <f>2*0.25*H$16*H$21</f>
        <v>0.0009072158636983708</v>
      </c>
      <c r="I38" s="380">
        <f>2*0.25*I$16*I$21</f>
        <v>756.0945000000002</v>
      </c>
      <c r="J38" s="381">
        <f>2*0.25*J$16*J$21</f>
        <v>0.0009090305774554109</v>
      </c>
      <c r="K38" s="382">
        <f>2*0.25*K$16*K$21</f>
        <v>0.0009025960227036906</v>
      </c>
      <c r="L38" s="40"/>
      <c r="M38" s="40"/>
      <c r="N38" s="383">
        <f>2*0.25*N$16*N$21</f>
        <v>0.0007666868809791601</v>
      </c>
      <c r="O38" s="384">
        <f>2*0.25*O$16*O$21</f>
        <v>0.0008619398570055353</v>
      </c>
      <c r="P38" s="379">
        <f>2*0.25*P$16*P$21</f>
        <v>0.0009025960227036906</v>
      </c>
      <c r="Q38" s="40"/>
      <c r="R38" s="385">
        <f>2*0.25*R$16*R$21</f>
        <v>0.0009722222222222223</v>
      </c>
      <c r="S38" s="381">
        <f>2*0.25*S$16*S$21</f>
        <v>0.0009009434769829997</v>
      </c>
      <c r="AE38" s="386">
        <f>2*0.25*AE$16*AE$21</f>
        <v>0.0009451795841209829</v>
      </c>
      <c r="AF38" s="386">
        <f>2*0.25*AF$16*AF$21</f>
        <v>0.0012500000000000002</v>
      </c>
      <c r="AG38" s="387">
        <f>2*0.25*AG$16*AG$21</f>
        <v>0.001701388888888889</v>
      </c>
      <c r="AI38" s="386">
        <f>2*0.25*AI$16*AI$21</f>
        <v>0.0009025960227036906</v>
      </c>
      <c r="AJ38" s="387">
        <f>2*0.25*AJ$16*AJ$21</f>
        <v>0.0009072158636983708</v>
      </c>
      <c r="AK38" s="387">
        <f>2*0.25*AK$16*AK$21</f>
        <v>0.0010299962980162103</v>
      </c>
    </row>
    <row r="39" spans="5:37" ht="13.5" thickBot="1">
      <c r="E39" s="23" t="s">
        <v>251</v>
      </c>
      <c r="F39" s="388">
        <f>2*0.125*(F$30*F$26+F$30*F$27+F$26*F$27)</f>
        <v>0.0014177693761814744</v>
      </c>
      <c r="G39" s="301"/>
      <c r="H39" s="388">
        <f>2*0.125*(H$30*H$26+H$30*H$27+H$26*H$27)</f>
        <v>0.00047605130892401117</v>
      </c>
      <c r="I39" s="389">
        <f>2*0.125*(I$30*I$26+I$30*I$27+I$26*I$27)</f>
        <v>396.752075</v>
      </c>
      <c r="J39" s="390">
        <f>2*0.125*(J$30*J$26+J$30*J$27+J$26*J$27)</f>
        <v>0.00047691850400682646</v>
      </c>
      <c r="K39" s="391">
        <f>2*0.125*(K$30*K$26+K$30*K$27+K$26*K$27)</f>
        <v>0.0004197581388362927</v>
      </c>
      <c r="L39" s="103"/>
      <c r="M39" s="103"/>
      <c r="N39" s="392">
        <f>2*0.125*(N$30*N$26+N$30*N$27+N$26*N$27)</f>
        <v>0</v>
      </c>
      <c r="O39" s="393">
        <f>2*0.125*(O$30*O$26+O$30*O$27+O$26*O$27)</f>
        <v>0.00010493953470907318</v>
      </c>
      <c r="P39" s="388">
        <f>2*0.125*(P$30*P$26+P$30*P$27+P$26*P$27)</f>
        <v>0.0004197581388362927</v>
      </c>
      <c r="Q39" s="103"/>
      <c r="R39" s="394">
        <f>2*0.125*(R$30*R$26+R$30*R$27+R$26*R$27)</f>
        <v>0.00036265432098765433</v>
      </c>
      <c r="S39" s="390">
        <f>2*0.125*(S$30*S$26+S$30*S$27+S$26*S$27)</f>
        <v>0.0004010509071116331</v>
      </c>
      <c r="AE39" s="395">
        <f>2*0.125*(AE$30*AE$26+AE$30*AE$27+AE$26*AE$27)</f>
        <v>0.0014177693761814744</v>
      </c>
      <c r="AF39" s="395">
        <f>2*0.125*(AF$30*AF$26+AF$30*AF$27+AF$26*AF$27)</f>
        <v>0.0006250000000000001</v>
      </c>
      <c r="AG39" s="396">
        <f>2*0.125*(AG$30*AG$26+AG$30*AG$27+AG$26*AG$27)</f>
        <v>0.00015625000000000003</v>
      </c>
      <c r="AI39" s="395">
        <f>2*0.125*(AI$30*AI$26+AI$30*AI$27+AI$26*AI$27)</f>
        <v>0.0004197581388362927</v>
      </c>
      <c r="AJ39" s="396">
        <f>2*0.125*(AJ$30*AJ$26+AJ$30*AJ$27+AJ$26*AJ$27)</f>
        <v>0.00047605130892401117</v>
      </c>
      <c r="AK39" s="396">
        <f>2*0.125*(AK$30*AK$26+AK$30*AK$27+AK$26*AK$27)</f>
        <v>0.00011455224120188455</v>
      </c>
    </row>
    <row r="40" spans="2:5" ht="12.75">
      <c r="B40" s="284" t="s">
        <v>261</v>
      </c>
      <c r="C40" s="283"/>
      <c r="D40" s="283"/>
      <c r="E40" s="281"/>
    </row>
    <row r="41" spans="2:5" ht="12.75">
      <c r="B41" s="289"/>
      <c r="C41" s="341">
        <v>19</v>
      </c>
      <c r="D41" s="341">
        <v>20</v>
      </c>
      <c r="E41" s="340">
        <v>23</v>
      </c>
    </row>
    <row r="42" spans="2:5" ht="12.75">
      <c r="B42" s="339">
        <v>19</v>
      </c>
      <c r="C42" s="40">
        <v>0.5</v>
      </c>
      <c r="D42" s="40">
        <v>0.125</v>
      </c>
      <c r="E42" s="288">
        <v>0.125</v>
      </c>
    </row>
    <row r="43" spans="2:5" ht="12.75">
      <c r="B43" s="339">
        <v>20</v>
      </c>
      <c r="C43" s="40">
        <f>D42</f>
        <v>0.125</v>
      </c>
      <c r="D43" s="40">
        <v>0.5</v>
      </c>
      <c r="E43" s="288">
        <v>0.125</v>
      </c>
    </row>
    <row r="44" spans="2:5" ht="13.5" thickBot="1">
      <c r="B44" s="342">
        <v>23</v>
      </c>
      <c r="C44" s="103">
        <f>E42</f>
        <v>0.125</v>
      </c>
      <c r="D44" s="103">
        <f>E43</f>
        <v>0.125</v>
      </c>
      <c r="E44" s="301">
        <v>0.5</v>
      </c>
    </row>
  </sheetData>
  <mergeCells count="4">
    <mergeCell ref="B6:D6"/>
    <mergeCell ref="AE5:AK5"/>
    <mergeCell ref="AE6:AH6"/>
    <mergeCell ref="AI6:AK6"/>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SLU, S-901 83 Umeå</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Seed orchard management</dc:title>
  <dc:subject/>
  <dc:creator>Dag Lindgren assisted by Kyu-Suk Kang</dc:creator>
  <cp:keywords/>
  <dc:description>Distributed on a public FTP server.
There is an earlier version _2001</dc:description>
  <cp:lastModifiedBy>Dag Lindgren</cp:lastModifiedBy>
  <cp:lastPrinted>1998-07-20T13:32:39Z</cp:lastPrinted>
  <dcterms:created xsi:type="dcterms:W3CDTF">1995-12-19T06:57:58Z</dcterms:created>
  <dcterms:modified xsi:type="dcterms:W3CDTF">2004-03-17T15:11:15Z</dcterms:modified>
  <cp:category/>
  <cp:version/>
  <cp:contentType/>
  <cp:contentStatus/>
</cp:coreProperties>
</file>