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1_9.bin" ContentType="application/vnd.openxmlformats-officedocument.oleObject"/>
  <Override PartName="/xl/embeddings/oleObject_1_10.bin" ContentType="application/vnd.openxmlformats-officedocument.oleObject"/>
  <Override PartName="/xl/embeddings/oleObject_1_11.bin" ContentType="application/vnd.openxmlformats-officedocument.oleObject"/>
  <Override PartName="/xl/embeddings/oleObject_1_12.bin" ContentType="application/vnd.openxmlformats-officedocument.oleObject"/>
  <Override PartName="/xl/embeddings/oleObject_1_13.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25" yWindow="120" windowWidth="7845" windowHeight="8670" tabRatio="757" activeTab="0"/>
  </bookViews>
  <sheets>
    <sheet name="Simple" sheetId="1" r:id="rId1"/>
    <sheet name="Advanced" sheetId="2" r:id="rId2"/>
    <sheet name="More advanced" sheetId="3" r:id="rId3"/>
    <sheet name="Explanations" sheetId="4" r:id="rId4"/>
    <sheet name="Särplockning" sheetId="5" r:id="rId5"/>
  </sheets>
  <definedNames/>
  <calcPr fullCalcOnLoad="1"/>
</workbook>
</file>

<file path=xl/comments1.xml><?xml version="1.0" encoding="utf-8"?>
<comments xmlns="http://schemas.openxmlformats.org/spreadsheetml/2006/main">
  <authors>
    <author>Kyu-Suk Kang</author>
    <author>Dag Lindgren</author>
    <author>A satisfied Microsoft Office user</author>
    <author>argocd</author>
  </authors>
  <commentList>
    <comment ref="C3" authorId="0">
      <text>
        <r>
          <rPr>
            <sz val="8"/>
            <rFont val="Tahoma"/>
            <family val="0"/>
          </rPr>
          <t xml:space="preserve">The user should experiment with changing the </t>
        </r>
        <r>
          <rPr>
            <sz val="8"/>
            <color indexed="10"/>
            <rFont val="Tahoma"/>
            <family val="2"/>
          </rPr>
          <t>red</t>
        </r>
        <r>
          <rPr>
            <sz val="8"/>
            <rFont val="Tahoma"/>
            <family val="0"/>
          </rPr>
          <t xml:space="preserve"> values, but do not change the </t>
        </r>
        <r>
          <rPr>
            <sz val="8"/>
            <color indexed="12"/>
            <rFont val="Tahoma"/>
            <family val="2"/>
          </rPr>
          <t>blue</t>
        </r>
        <r>
          <rPr>
            <sz val="8"/>
            <rFont val="Tahoma"/>
            <family val="0"/>
          </rPr>
          <t>!</t>
        </r>
      </text>
    </comment>
    <comment ref="D3" authorId="0">
      <text>
        <r>
          <rPr>
            <sz val="8"/>
            <rFont val="Tahoma"/>
            <family val="0"/>
          </rPr>
          <t xml:space="preserve">Small </t>
        </r>
        <r>
          <rPr>
            <sz val="8"/>
            <color indexed="12"/>
            <rFont val="Tahoma"/>
            <family val="2"/>
          </rPr>
          <t xml:space="preserve">blue </t>
        </r>
        <r>
          <rPr>
            <sz val="8"/>
            <rFont val="Tahoma"/>
            <family val="0"/>
          </rPr>
          <t xml:space="preserve">values are output of minor importance and larger output of </t>
        </r>
        <r>
          <rPr>
            <sz val="8"/>
            <color indexed="12"/>
            <rFont val="Tahoma"/>
            <family val="2"/>
          </rPr>
          <t>major</t>
        </r>
        <r>
          <rPr>
            <sz val="8"/>
            <rFont val="Tahoma"/>
            <family val="0"/>
          </rPr>
          <t xml:space="preserve"> importance. DO NOT change blue values!!!!!</t>
        </r>
      </text>
    </comment>
    <comment ref="B4" authorId="0">
      <text>
        <r>
          <rPr>
            <sz val="8"/>
            <rFont val="Tahoma"/>
            <family val="0"/>
          </rPr>
          <t>The main aim of this worksheet is to make it possible to compare different seed orchard management regimes as a function of number of seed and pollen parents and the percentage of gene migration.</t>
        </r>
      </text>
    </comment>
    <comment ref="C5" authorId="0">
      <text>
        <r>
          <rPr>
            <sz val="8"/>
            <rFont val="Tahoma"/>
            <family val="2"/>
          </rPr>
          <t>This is the rate of pollen contamination (unit: %).</t>
        </r>
      </text>
    </comment>
    <comment ref="E5" authorId="0">
      <text>
        <r>
          <rPr>
            <sz val="8"/>
            <rFont val="Tahoma"/>
            <family val="0"/>
          </rPr>
          <t>Contamination inferiority (=breeding value of contaminating pollen)</t>
        </r>
      </text>
    </comment>
    <comment ref="F5" authorId="1">
      <text>
        <r>
          <rPr>
            <sz val="8"/>
            <color indexed="8"/>
            <rFont val="Tahoma"/>
            <family val="2"/>
          </rPr>
          <t>How inferior the migrating contaminating pollen is (in additive standard deviation units). It is recommanded that the effect of contamination on genetic gain is only evaluated by experienced users (it does not matter much within comparisons where contamination is constant). This value is in general negative, as the reference level zero for genetic gain in this workbook is the average of the initial plustrees. That the inforiority is</t>
        </r>
        <r>
          <rPr>
            <sz val="8"/>
            <color indexed="10"/>
            <rFont val="Tahoma"/>
            <family val="2"/>
          </rPr>
          <t xml:space="preserve"> -1</t>
        </r>
        <r>
          <rPr>
            <sz val="8"/>
            <color indexed="8"/>
            <rFont val="Tahoma"/>
            <family val="2"/>
          </rPr>
          <t xml:space="preserve"> means that it is the same as the superiority of the selected clones if selection intensity is 1 (and breeding values exacly known.  
If pollen migrating into the seed orchard is maladapted to where the orchard seeds are used can increase this parameter.</t>
        </r>
      </text>
    </comment>
    <comment ref="E6" authorId="0">
      <text>
        <r>
          <rPr>
            <sz val="8"/>
            <rFont val="Tahoma"/>
            <family val="0"/>
          </rPr>
          <t>Influence of contamination on gain</t>
        </r>
      </text>
    </comment>
    <comment ref="B6" authorId="0">
      <text>
        <r>
          <rPr>
            <sz val="8"/>
            <rFont val="Tahoma"/>
            <family val="0"/>
          </rPr>
          <t>Share of non orchard genes in the orchard crop due to pollen contamination</t>
        </r>
      </text>
    </comment>
    <comment ref="C6" authorId="0">
      <text>
        <r>
          <rPr>
            <sz val="8"/>
            <rFont val="Tahoma"/>
            <family val="0"/>
          </rPr>
          <t>Note that M (migration) is half the pollen contamination, as the father contributes only half of the genes in its progeny.</t>
        </r>
      </text>
    </comment>
    <comment ref="E8" authorId="0">
      <text>
        <r>
          <rPr>
            <sz val="8"/>
            <rFont val="Tahoma"/>
            <family val="0"/>
          </rPr>
          <t>Gene diversity is relative to the population from which plus trees were selected</t>
        </r>
      </text>
    </comment>
    <comment ref="G8" authorId="2">
      <text>
        <r>
          <rPr>
            <sz val="8"/>
            <rFont val="Tahoma"/>
            <family val="0"/>
          </rPr>
          <t>Sometimes called average coancestry or average kinship.
This is for seed orchard clones.</t>
        </r>
      </text>
    </comment>
    <comment ref="B23" authorId="0">
      <text>
        <r>
          <rPr>
            <sz val="8"/>
            <rFont val="Tahoma"/>
            <family val="0"/>
          </rPr>
          <t>Some clones do not serve both as seed and pollen parents, eg some may be young fresh selections which have not started full pollen shedding yet. The gain is the same because it is assumed that the clones which do not serve as parents in both ways, still are chosen with the selection intensity of those who do, thus following truncation selection from all candidates, but may be from different populations.</t>
        </r>
      </text>
    </comment>
    <comment ref="C24" authorId="0">
      <text>
        <r>
          <rPr>
            <sz val="8"/>
            <rFont val="Tahoma"/>
            <family val="0"/>
          </rPr>
          <t xml:space="preserve">Census number of clones </t>
        </r>
        <r>
          <rPr>
            <sz val="8"/>
            <rFont val="Tahoma"/>
            <family val="2"/>
          </rPr>
          <t>(</t>
        </r>
        <r>
          <rPr>
            <i/>
            <sz val="8"/>
            <rFont val="Tahoma"/>
            <family val="2"/>
          </rPr>
          <t>N</t>
        </r>
        <r>
          <rPr>
            <sz val="8"/>
            <rFont val="Tahoma"/>
            <family val="0"/>
          </rPr>
          <t>) in this alternative.</t>
        </r>
      </text>
    </comment>
    <comment ref="F8" authorId="1">
      <text>
        <r>
          <rPr>
            <sz val="8"/>
            <rFont val="Tahoma"/>
            <family val="2"/>
          </rPr>
          <t>The average breeding value of initial clones is 0 and the additive variance among them is 1.</t>
        </r>
      </text>
    </comment>
    <comment ref="C23" authorId="0">
      <text>
        <r>
          <rPr>
            <sz val="8"/>
            <rFont val="Tahoma"/>
            <family val="0"/>
          </rPr>
          <t>This (Nfm) cannot be larger than the smaller of Nf and Nm.</t>
        </r>
      </text>
    </comment>
    <comment ref="B24" authorId="1">
      <text>
        <r>
          <rPr>
            <b/>
            <sz val="8"/>
            <rFont val="Tahoma"/>
            <family val="0"/>
          </rPr>
          <t>Dag Lindgren:</t>
        </r>
        <r>
          <rPr>
            <sz val="8"/>
            <rFont val="Tahoma"/>
            <family val="0"/>
          </rPr>
          <t xml:space="preserve">
Total number of clones contributing to progeny</t>
        </r>
      </text>
    </comment>
    <comment ref="A1" authorId="3">
      <text>
        <r>
          <rPr>
            <b/>
            <sz val="8"/>
            <rFont val="Tahoma"/>
            <family val="0"/>
          </rPr>
          <t>Dag Lindgren:</t>
        </r>
        <r>
          <rPr>
            <sz val="8"/>
            <rFont val="Tahoma"/>
            <family val="0"/>
          </rPr>
          <t xml:space="preserve">
Note that they are assumed to be truncation selection from the available candidates</t>
        </r>
      </text>
    </comment>
    <comment ref="A1" authorId="3">
      <text>
        <r>
          <rPr>
            <b/>
            <sz val="8"/>
            <rFont val="Tahoma"/>
            <family val="0"/>
          </rPr>
          <t>Dag Lindgren:</t>
        </r>
        <r>
          <rPr>
            <sz val="8"/>
            <rFont val="Tahoma"/>
            <family val="0"/>
          </rPr>
          <t xml:space="preserve">
Note that they are assumed to be truncation selection from the available candidates</t>
        </r>
      </text>
    </comment>
    <comment ref="A1" authorId="3">
      <text>
        <r>
          <rPr>
            <b/>
            <sz val="8"/>
            <rFont val="Tahoma"/>
            <family val="0"/>
          </rPr>
          <t>Dag Lindgren:</t>
        </r>
        <r>
          <rPr>
            <sz val="8"/>
            <rFont val="Tahoma"/>
            <family val="0"/>
          </rPr>
          <t xml:space="preserve">
Great caution is adviced when using these gain predictions, it is difficult to understand the conditions when they are valid and the applicability is limited. But we still think the calculations behind can help in developing gain estimates in particular situations.</t>
        </r>
      </text>
    </comment>
  </commentList>
</comments>
</file>

<file path=xl/comments2.xml><?xml version="1.0" encoding="utf-8"?>
<comments xmlns="http://schemas.openxmlformats.org/spreadsheetml/2006/main">
  <authors>
    <author>Kyu-Suk Kang</author>
    <author>argocd</author>
    <author>Dag Lindgren</author>
  </authors>
  <commentList>
    <comment ref="J5" authorId="0">
      <text>
        <r>
          <rPr>
            <sz val="8"/>
            <rFont val="Tahoma"/>
            <family val="0"/>
          </rPr>
          <t xml:space="preserve">Sibling coefficient; fertility variation; variation of the reproductive success of orchard clones; integral of squared contribution. This value cannot be smaller than 1. </t>
        </r>
      </text>
    </comment>
    <comment ref="K5" authorId="0">
      <text>
        <r>
          <rPr>
            <sz val="8"/>
            <rFont val="Tahoma"/>
            <family val="0"/>
          </rPr>
          <t>If the value is 1, all clones are equally fertile.</t>
        </r>
      </text>
    </comment>
    <comment ref="G5" authorId="0">
      <text>
        <r>
          <rPr>
            <sz val="8"/>
            <rFont val="Tahoma"/>
            <family val="0"/>
          </rPr>
          <t>C.V.(%) : the coefficient of variation for the fertility of parents</t>
        </r>
      </text>
    </comment>
    <comment ref="E8" authorId="0">
      <text>
        <r>
          <rPr>
            <sz val="8"/>
            <rFont val="Tahoma"/>
            <family val="0"/>
          </rPr>
          <t>This is calculated on the basis of orchard clones and the gamete gene pool of seed crops. Thus, Ne(v) considers the change of gene contributions between the orchard clones and the seed crops. It describes the size of sample that would give the same drift in gene frequencies as found in the seed crop</t>
        </r>
      </text>
    </comment>
    <comment ref="A1" authorId="1">
      <text>
        <r>
          <rPr>
            <sz val="8"/>
            <rFont val="Tahoma"/>
            <family val="0"/>
          </rPr>
          <t>Recommendation is not to change this one</t>
        </r>
      </text>
    </comment>
    <comment ref="A1" authorId="1">
      <text>
        <r>
          <rPr>
            <sz val="8"/>
            <rFont val="Tahoma"/>
            <family val="0"/>
          </rPr>
          <t>Additive variance (standard deviation of breeding value for orchard clones)</t>
        </r>
      </text>
    </comment>
    <comment ref="C23" authorId="0">
      <text>
        <r>
          <rPr>
            <b/>
            <sz val="8"/>
            <rFont val="Tahoma"/>
            <family val="0"/>
          </rPr>
          <t>Kyu-Suk Kang:</t>
        </r>
        <r>
          <rPr>
            <sz val="8"/>
            <rFont val="Tahoma"/>
            <family val="0"/>
          </rPr>
          <t xml:space="preserve">
This (Nfm) cannot be larger than the smaller of Nf and Nm.</t>
        </r>
      </text>
    </comment>
    <comment ref="E5" authorId="2">
      <text>
        <r>
          <rPr>
            <sz val="8"/>
            <color indexed="8"/>
            <rFont val="Tahoma"/>
            <family val="2"/>
          </rPr>
          <t>How inferior the migrating contaminating pollen is (in additive standard deviation units). It is recommanded that the effect of contamination on genetic gain is only evaluated by experienced users (it does not matter much within comparisons where contamination is constant). This value is in general negative, as the reference level zero for genetic gain in this workbook is the average of the initial plustrees. That the inforiority is -1 means that it is the same as the superiority of the selected clones if selection intensity is 1 (and breeding values exacly known.  
If pollen migrating into the seed orchard is maladapted to where the orchard seeds are used can increase this parameter.</t>
        </r>
      </text>
    </comment>
    <comment ref="H5" authorId="2">
      <text>
        <r>
          <rPr>
            <b/>
            <sz val="8"/>
            <rFont val="Tahoma"/>
            <family val="0"/>
          </rPr>
          <t>Dag Lindgren:</t>
        </r>
        <r>
          <rPr>
            <sz val="8"/>
            <rFont val="Tahoma"/>
            <family val="0"/>
          </rPr>
          <t xml:space="preserve">
CV is initially set to 100% in this worksheet. That means that standard deviation of fertility is as large as the average fertility. It also means that A=2, and that means that the effective number is half as large as if there were no fertility variation.</t>
        </r>
      </text>
    </comment>
    <comment ref="H21" authorId="2">
      <text>
        <r>
          <rPr>
            <b/>
            <sz val="8"/>
            <rFont val="Tahoma"/>
            <family val="0"/>
          </rPr>
          <t>Dag Lindgren:</t>
        </r>
        <r>
          <rPr>
            <sz val="8"/>
            <rFont val="Tahoma"/>
            <family val="0"/>
          </rPr>
          <t xml:space="preserve">
These selection intensities assume truncation selection from the candidates. they could be manually manipulated if they are not, but this is of course a risky operation! </t>
        </r>
      </text>
    </comment>
    <comment ref="H22" authorId="2">
      <text>
        <r>
          <rPr>
            <b/>
            <sz val="8"/>
            <rFont val="Tahoma"/>
            <family val="0"/>
          </rPr>
          <t>Dag Lindgren:</t>
        </r>
        <r>
          <rPr>
            <sz val="8"/>
            <rFont val="Tahoma"/>
            <family val="0"/>
          </rPr>
          <t xml:space="preserve">
See comment above!</t>
        </r>
      </text>
    </comment>
  </commentList>
</comments>
</file>

<file path=xl/comments3.xml><?xml version="1.0" encoding="utf-8"?>
<comments xmlns="http://schemas.openxmlformats.org/spreadsheetml/2006/main">
  <authors>
    <author>Kyu-Suk Kang</author>
    <author>Dag Lindgren</author>
  </authors>
  <commentList>
    <comment ref="P4" authorId="0">
      <text>
        <r>
          <rPr>
            <sz val="8"/>
            <rFont val="Tahoma"/>
            <family val="0"/>
          </rPr>
          <t>This small '</t>
        </r>
        <r>
          <rPr>
            <i/>
            <sz val="8"/>
            <rFont val="Tahoma"/>
            <family val="2"/>
          </rPr>
          <t>a</t>
        </r>
        <r>
          <rPr>
            <sz val="8"/>
            <rFont val="Tahoma"/>
            <family val="0"/>
          </rPr>
          <t>' can be used  in a power function,  F(x)=x^a, if the clonal values for fertility (x) are ranked. It is also possible to describe an expected contribution of clones, x=F(x)^(1/a). (F(x) is the fraction of genotypes).
The value of '</t>
        </r>
        <r>
          <rPr>
            <i/>
            <sz val="8"/>
            <rFont val="Tahoma"/>
            <family val="2"/>
          </rPr>
          <t>a</t>
        </r>
        <r>
          <rPr>
            <sz val="8"/>
            <rFont val="Tahoma"/>
            <family val="0"/>
          </rPr>
          <t>' can not be less than one.</t>
        </r>
      </text>
    </comment>
    <comment ref="G5" authorId="0">
      <text>
        <r>
          <rPr>
            <sz val="8"/>
            <rFont val="Tahoma"/>
            <family val="0"/>
          </rPr>
          <t xml:space="preserve">Coefficient of variation for </t>
        </r>
        <r>
          <rPr>
            <sz val="8"/>
            <color indexed="14"/>
            <rFont val="Tahoma"/>
            <family val="2"/>
          </rPr>
          <t>the fertility of father parents</t>
        </r>
      </text>
    </comment>
    <comment ref="V3" authorId="0">
      <text>
        <r>
          <rPr>
            <sz val="8"/>
            <rFont val="Tahoma"/>
            <family val="0"/>
          </rPr>
          <t>This is the cumulative contribution of orchard clones according to the power function.</t>
        </r>
      </text>
    </comment>
    <comment ref="H6" authorId="1">
      <text>
        <r>
          <rPr>
            <sz val="8"/>
            <rFont val="Tahoma"/>
            <family val="2"/>
          </rPr>
          <t>Recommendation is not to change this one</t>
        </r>
      </text>
    </comment>
    <comment ref="M4" authorId="0">
      <text>
        <r>
          <rPr>
            <sz val="8"/>
            <rFont val="Tahoma"/>
            <family val="0"/>
          </rPr>
          <t xml:space="preserve">Sibling coefficient for reproductive success; fertility variation; variation of the reproductive success of orchard clones. This value cannot be smaller than 1. </t>
        </r>
      </text>
    </comment>
    <comment ref="B4" authorId="0">
      <text>
        <r>
          <rPr>
            <sz val="8"/>
            <rFont val="Tahoma"/>
            <family val="0"/>
          </rPr>
          <t>The main aim of this sheet is to make it possible to consider the fertility variation among genotypes.</t>
        </r>
      </text>
    </comment>
    <comment ref="G4" authorId="0">
      <text>
        <r>
          <rPr>
            <sz val="8"/>
            <rFont val="Tahoma"/>
            <family val="0"/>
          </rPr>
          <t xml:space="preserve">Coefficient of variation for </t>
        </r>
        <r>
          <rPr>
            <sz val="8"/>
            <color indexed="14"/>
            <rFont val="Tahoma"/>
            <family val="2"/>
          </rPr>
          <t>the fertility of mother clones</t>
        </r>
        <r>
          <rPr>
            <sz val="8"/>
            <rFont val="Tahoma"/>
            <family val="0"/>
          </rPr>
          <t>, thus the standard error as a percentage of the mean.</t>
        </r>
      </text>
    </comment>
    <comment ref="J4" authorId="0">
      <text>
        <r>
          <rPr>
            <sz val="8"/>
            <rFont val="Tahoma"/>
            <family val="2"/>
          </rPr>
          <t xml:space="preserve">Sibling coefficient for mother clones. </t>
        </r>
        <r>
          <rPr>
            <i/>
            <sz val="8"/>
            <rFont val="Tahoma"/>
            <family val="2"/>
          </rPr>
          <t>A</t>
        </r>
        <r>
          <rPr>
            <sz val="8"/>
            <rFont val="Tahoma"/>
            <family val="0"/>
          </rPr>
          <t xml:space="preserve"> is the integral of squared contribution. This value cannot be smaller than 1. </t>
        </r>
      </text>
    </comment>
    <comment ref="J6" authorId="0">
      <text>
        <r>
          <rPr>
            <b/>
            <sz val="8"/>
            <rFont val="Tahoma"/>
            <family val="0"/>
          </rPr>
          <t>Kyu-Suk Kang:</t>
        </r>
        <r>
          <rPr>
            <sz val="8"/>
            <rFont val="Tahoma"/>
            <family val="0"/>
          </rPr>
          <t xml:space="preserve">
Correlation coefficient between mather and father contribution to the seed crop.
Range from -1 to 1.</t>
        </r>
      </text>
    </comment>
    <comment ref="N4" authorId="0">
      <text>
        <r>
          <rPr>
            <b/>
            <sz val="8"/>
            <rFont val="Tahoma"/>
            <family val="0"/>
          </rPr>
          <t>Kyu-Suk Kang:</t>
        </r>
        <r>
          <rPr>
            <sz val="8"/>
            <rFont val="Tahoma"/>
            <family val="0"/>
          </rPr>
          <t xml:space="preserve">
This value is 1 when all clones are equally fertile as a mother and a father, </t>
        </r>
        <r>
          <rPr>
            <sz val="8"/>
            <color indexed="10"/>
            <rFont val="Tahoma"/>
            <family val="2"/>
          </rPr>
          <t>or when female and male fertility is completely correlated negatively (r=-1) with no migration.</t>
        </r>
      </text>
    </comment>
    <comment ref="J5" authorId="0">
      <text>
        <r>
          <rPr>
            <sz val="8"/>
            <rFont val="Tahoma"/>
            <family val="0"/>
          </rPr>
          <t>Sibling coefficient for father clones.</t>
        </r>
      </text>
    </comment>
    <comment ref="C23" authorId="0">
      <text>
        <r>
          <rPr>
            <b/>
            <sz val="8"/>
            <rFont val="Tahoma"/>
            <family val="0"/>
          </rPr>
          <t>Kyu-Suk Kang:</t>
        </r>
        <r>
          <rPr>
            <sz val="8"/>
            <rFont val="Tahoma"/>
            <family val="0"/>
          </rPr>
          <t xml:space="preserve">
This (Nfm) cannot be larger than the smaller of Nf and Nm.</t>
        </r>
      </text>
    </comment>
  </commentList>
</comments>
</file>

<file path=xl/comments4.xml><?xml version="1.0" encoding="utf-8"?>
<comments xmlns="http://schemas.openxmlformats.org/spreadsheetml/2006/main">
  <authors>
    <author>Dag Lindgren</author>
  </authors>
  <commentList>
    <comment ref="K2" authorId="0">
      <text>
        <r>
          <rPr>
            <b/>
            <sz val="8"/>
            <rFont val="Tahoma"/>
            <family val="2"/>
          </rPr>
          <t>Literature</t>
        </r>
        <r>
          <rPr>
            <sz val="8"/>
            <rFont val="Tahoma"/>
            <family val="0"/>
          </rPr>
          <t xml:space="preserve">
 Lindgren D, Gea L.D. &amp; Jefferson P.A. 1996. Loss of genetic diversity monitored by status 
    number.  Silvae Genetica 45: 52-59.
 Lindgren D. &amp; Kang K.S. 1997. Status number - a useful tool for tree breeding. Research 
    Report of the Forest Genetics Research Institute, Korea 33: 154-165.
 Bila A. &amp; Lindgren D. 1998.  Fertility variation in Milletia sthulimannii, Brachystegia
    speciformis, Brachystegia bohemi and Leucaena leucocephala and its effects on relatedness
    in seeds. Forest Genetics 5(2): 119-129.
 Lindgren D. &amp; Mullin T.J. 1998. Relatedness and status number in seed orchard crops. 
    Canadian Journal of Forest Research 28: 276-283.
 Kang K.S. &amp; Lindgren D. 1998. Fertility variation and its effect on the relatedness of seeds of 
    Pinus densiflora, Pinus thunbergii and Pinus koraiensis clonal seed orchards. Silvae Genetica
    47(4): 196-201.
 Ruotsalainen, S. Lindgren, D. &amp; Mullin, T.J. 2000. Some formulas concerned with pollen 
    contamination have constrained use in Lindgren and Mullin (1998). Relatedness and
    status number in seed orchard crops. Canadian Journal of Forest Research 30: 333.
Kang, K.S., Lindgren, D. &amp; Mullin, T. 2000. Prediction of genetic gain and gene diversity in
    seed orchard crops under alternative management strategies. TAG in press.
Kang, K.S. 2001. Genetic gain and gene diversity of seed orchard crops.  Acta Universitatis Agriculturae Sueciae. Silvestria  187 75pp+ 11 chapters. </t>
        </r>
      </text>
    </comment>
    <comment ref="A3" authorId="0">
      <text>
        <r>
          <rPr>
            <sz val="8"/>
            <rFont val="Tahoma"/>
            <family val="0"/>
          </rPr>
          <t xml:space="preserve">
</t>
        </r>
        <r>
          <rPr>
            <b/>
            <sz val="10"/>
            <rFont val="Tahoma"/>
            <family val="2"/>
          </rPr>
          <t>EXAMPLES to ORCHARD_MANAGEMENT</t>
        </r>
        <r>
          <rPr>
            <sz val="8"/>
            <rFont val="Tahoma"/>
            <family val="0"/>
          </rPr>
          <t xml:space="preserve"> 
Kang, K-S &amp; Dag Lindgren, last edit DL 01-03-12
For training on the work book ORCHARD_MANAGEMENT_2001.xls
Setting
You are the responsible manager for a seed orchard of Pinus scotch var. whiskeys, and receive the questions listed below from your boss for consideration concerning the wisest seed orchard management. The seed orchard has 100 unrelated and non-inbred clones from the initial plus-tree selection, and pollen contamination is 40%. Contamination pollen contribute equally to all clones.
The breeding values of the orchard clones are known. The average breeding value of the initial plus-trees is set as 0 (this is just to get a reference point). The standard deviation of breeding values of clones is 1. The contaminating pollen has a breeding value which is usually less than zero (not as good as the initial plustrees), so the contamination inferiority (i.e., breeding value of contaminating pollen) is considered as –1.
</t>
        </r>
        <r>
          <rPr>
            <b/>
            <sz val="8"/>
            <color indexed="10"/>
            <rFont val="Tahoma"/>
            <family val="2"/>
          </rPr>
          <t>Example 1</t>
        </r>
        <r>
          <rPr>
            <sz val="8"/>
            <rFont val="Tahoma"/>
            <family val="0"/>
          </rPr>
          <t xml:space="preserve">
1-1.What are the predicted gain (G), status number (Ns) and gene diversity (GD) when seeds are harvested only from the best 10 clones without any genetic thinning?
1-2. What about genetic thinning with removing of 90% inferior clones? Thus, the 10 % best clones remains.
1-3. Compare the two management regimes given above as regards gain and diversity in the seeds. What genetic thinning will be required to get the same gene diversity as in Example 1-1, and what will the corresponding genetic gain be?
Solution
Use workbook: ORCHARD_MANAGEMENT_2001 (simplest). Insert the all red values given in the situation and example. For alternatives A (Harvest best clones, no thinning) and B (Genetic thinning) , both genetic gain and gene diversity are as follows:
1-1 Harvest 10% best clones and no thinning (A): G = 0.665, Ns = 34.6 and GD = 0.9861-2 Genetic thinning 90% inferior clones (B): G = 1.184, Ns = 15.6 and GD = 0.9681-3 Balancing point: One can be between 10% selective harvest and 78% genetic thinning (22 clones remains after genetic thinning). G=0.866.
</t>
        </r>
        <r>
          <rPr>
            <b/>
            <sz val="8"/>
            <color indexed="10"/>
            <rFont val="Tahoma"/>
            <family val="2"/>
          </rPr>
          <t>Example 2</t>
        </r>
        <r>
          <rPr>
            <sz val="8"/>
            <rFont val="Tahoma"/>
            <family val="0"/>
          </rPr>
          <t xml:space="preserve">
Now, you get the information of fertility variation (in terms of CV) among parents, which is estimated to 100%.
2-1) What are genetic gain, Ns and variance effective population size (Ne(v)) if the seeds are collected from the best 50% clones without genetic thinning?
2-2) How about when the seeds are harvested from the remaining clones after genetic thinning of 50 % inferior clones?
2-3) If the seeds are collected from 20 best clones after the 50 % thinning?
Solution
Use workbook: ORCHARD_MANAGEMENT_2001 (advanced). Insert the all red values given.
2-1) Harvest 50 % best clones, no thinning: G = 0.196, Ns = 56.2 and Ne(v) = 112..4
2-2) Harvest all clones after 50 % genetic thinning: G = 0.433, Ns = 39.1 and Ne(v) = 78.1
2-3) Harvest 20% best clones after 50% genetic thinning: G = 0.730, Ns = 24.6 and Ne(v) = 49.3
</t>
        </r>
        <r>
          <rPr>
            <b/>
            <sz val="8"/>
            <color indexed="10"/>
            <rFont val="Tahoma"/>
            <family val="2"/>
          </rPr>
          <t>Example 3</t>
        </r>
        <r>
          <rPr>
            <sz val="8"/>
            <rFont val="Tahoma"/>
            <family val="0"/>
          </rPr>
          <t xml:space="preserve">
The seed orchard is genetically thinned down to 40 clones, a part of the seed orchard is completely replanted with 10 ten of the clones which remain in the seed orchard and 10 other clones. Seeds are harvested from the newplanted part before pollen production where has become important (thus the orchard pollen comes from the 40 clones around). Another problem which got the same answer is: there are 50 clones remaining in the seed orchard. There is a sexual assymmetry so 40 of the clones produce pollen and 20 seeds. The male fertility and female fertility are the same for all clones which has a reproductive output.  What are the values of  Ns and Ne(v) ? Speculate about under what condition the gain estimates given in the worksheet are relevant!
Solution
Use workbook: ORCHARD_MANAGEMENT_2001 . Insert the relevant red values (e.g. Nf = 40, Nm=20 and Nfm=10). In advanced insert CV = 0.  
  Ns =  54.1 and Ne(v) = ?
50 clones contribute to the progeny
.....
</t>
        </r>
        <r>
          <rPr>
            <b/>
            <sz val="8"/>
            <color indexed="10"/>
            <rFont val="Tahoma"/>
            <family val="2"/>
          </rPr>
          <t>Example 4</t>
        </r>
        <r>
          <rPr>
            <sz val="8"/>
            <rFont val="Tahoma"/>
            <family val="0"/>
          </rPr>
          <t xml:space="preserve">
You have further information on the fertility variation. Fertility variation (CVm) of mother clones is 100 % and that (CVf) of father parents is 150 %. There is a negative correlation between maternal and paternal fertility (r = -0.2). What are the values of genetic gain and status number for the initial seed orchard and for the selective harvest of 50 % best clones? If the correlation coefficient is 0.2, what results do you get? Compare the results for both cases of correlation, why do you think things change?
Solution
Use workbook: ORCHARD_MANAGEMENT_2001 (more advanced). Insert all red values relevant for the situation.
  r = -0.2Alternative 1 : G = -0.200, Ns = 99.8 and Ne(v) = 275.9
Alternative 2 : G = 0.196, Ns = 71.7 and Ne(v) = 198.4
  r = 0.2Alternative 1 : G = -0.200, Ns = 84.6 and Ne(v) = 184.3
Alternative 2 : G = 0.196, Ns = 60.8 and Ne(v) = 132.6
The change in correlation has no effect on gain, but gene diversity get higher if there is a negative correlation. A negative correlation makes generally total fertility more equal and thus fertility variation lower and thus gene diversity higher.
Acknowledgements: We are grateful for helpful comments, in particular from Darius Danusevicius and Milan Lstiburek.
</t>
        </r>
      </text>
    </comment>
    <comment ref="K4" authorId="0">
      <text>
        <r>
          <rPr>
            <sz val="8"/>
            <rFont val="Tahoma"/>
            <family val="0"/>
          </rPr>
          <t>The following five cells exemplify the meaning of different colours and fonts.</t>
        </r>
      </text>
    </comment>
    <comment ref="L4" authorId="0">
      <text>
        <r>
          <rPr>
            <sz val="8"/>
            <rFont val="Tahoma"/>
            <family val="0"/>
          </rPr>
          <t xml:space="preserve">The </t>
        </r>
        <r>
          <rPr>
            <b/>
            <sz val="8"/>
            <color indexed="10"/>
            <rFont val="Tahoma"/>
            <family val="2"/>
          </rPr>
          <t>red figures with yellow background</t>
        </r>
        <r>
          <rPr>
            <sz val="8"/>
            <color indexed="10"/>
            <rFont val="Tahoma"/>
            <family val="2"/>
          </rPr>
          <t xml:space="preserve"> </t>
        </r>
        <r>
          <rPr>
            <sz val="8"/>
            <rFont val="Tahoma"/>
            <family val="0"/>
          </rPr>
          <t>are meant to be changed by the user.</t>
        </r>
      </text>
    </comment>
    <comment ref="M4" authorId="0">
      <text>
        <r>
          <rPr>
            <sz val="8"/>
            <rFont val="Tahoma"/>
            <family val="0"/>
          </rPr>
          <t xml:space="preserve">The </t>
        </r>
        <r>
          <rPr>
            <b/>
            <i/>
            <sz val="8"/>
            <color indexed="10"/>
            <rFont val="Tahoma"/>
            <family val="2"/>
          </rPr>
          <t>red figures in italics</t>
        </r>
        <r>
          <rPr>
            <sz val="8"/>
            <rFont val="Tahoma"/>
            <family val="0"/>
          </rPr>
          <t xml:space="preserve"> are better not to be changed unless you are confident in what you are doing! But once you understand the more sophisticated details of the worksheet you may find it very useful to be able to control these.</t>
        </r>
      </text>
    </comment>
    <comment ref="N4" authorId="0">
      <text>
        <r>
          <rPr>
            <b/>
            <sz val="8"/>
            <color indexed="12"/>
            <rFont val="Tahoma"/>
            <family val="2"/>
          </rPr>
          <t>Bold values in blue with yellow background</t>
        </r>
        <r>
          <rPr>
            <sz val="8"/>
            <rFont val="Tahoma"/>
            <family val="0"/>
          </rPr>
          <t xml:space="preserve"> are the main result. </t>
        </r>
        <r>
          <rPr>
            <b/>
            <sz val="8"/>
            <color indexed="40"/>
            <rFont val="Tahoma"/>
            <family val="2"/>
          </rPr>
          <t>Do not change blue values, because then the workbook will not work!</t>
        </r>
      </text>
    </comment>
    <comment ref="O4" authorId="0">
      <text>
        <r>
          <rPr>
            <sz val="8"/>
            <color indexed="12"/>
            <rFont val="Tahoma"/>
            <family val="2"/>
          </rPr>
          <t>Unbolded values in blue</t>
        </r>
        <r>
          <rPr>
            <sz val="8"/>
            <rFont val="Tahoma"/>
            <family val="0"/>
          </rPr>
          <t xml:space="preserve"> are considered minor or intermediary results. </t>
        </r>
        <r>
          <rPr>
            <sz val="8"/>
            <color indexed="40"/>
            <rFont val="Tahoma"/>
            <family val="2"/>
          </rPr>
          <t>Do not change blue values, because then the workbook will not work!</t>
        </r>
      </text>
    </comment>
    <comment ref="P4" authorId="0">
      <text>
        <r>
          <rPr>
            <sz val="8"/>
            <rFont val="Tahoma"/>
            <family val="0"/>
          </rPr>
          <t>Reference cell for further development of this simulator (cell need to be moved later or content need to be changed).</t>
        </r>
      </text>
    </comment>
    <comment ref="G3" authorId="0">
      <text>
        <r>
          <rPr>
            <sz val="8"/>
            <rFont val="Tahoma"/>
            <family val="0"/>
          </rPr>
          <t>This simulator was initially developed by Dag Lindgren (dag.lindgren@genfys.slu.se) in 1996-1998. It has since then been developed more by Kyu-Suk Kang. The last edits to this workbook was done in March, 2001. It was partly made in MS EXCEL 2000 for Windows, but it works as well in versions down to MS EXCEL 1997.</t>
        </r>
      </text>
    </comment>
    <comment ref="D3" authorId="0">
      <text>
        <r>
          <rPr>
            <sz val="8"/>
            <rFont val="Tahoma"/>
            <family val="0"/>
          </rPr>
          <t xml:space="preserve">Take in the examples in the worksheet 
We should move explanation into comments
</t>
        </r>
      </text>
    </comment>
  </commentList>
</comments>
</file>

<file path=xl/comments5.xml><?xml version="1.0" encoding="utf-8"?>
<comments xmlns="http://schemas.openxmlformats.org/spreadsheetml/2006/main">
  <authors>
    <author>Dag Lindgren</author>
  </authors>
  <commentList>
    <comment ref="A1" authorId="0">
      <text>
        <r>
          <rPr>
            <b/>
            <sz val="8"/>
            <rFont val="Tahoma"/>
            <family val="0"/>
          </rPr>
          <t>This sheet is a very simplified version only for selective cone harvest. It is written in Swedish for Swedish domestic use by people who are not specialists in breeding theory.</t>
        </r>
        <r>
          <rPr>
            <sz val="8"/>
            <rFont val="Tahoma"/>
            <family val="0"/>
          </rPr>
          <t xml:space="preserve">
</t>
        </r>
      </text>
    </comment>
    <comment ref="B1" authorId="0">
      <text>
        <r>
          <rPr>
            <b/>
            <sz val="8"/>
            <rFont val="Tahoma"/>
            <family val="0"/>
          </rPr>
          <t>Det här arbetsarket riktar sig till svenskar som operativt eller legalt intresserar sig för särplockningsproblematiken på ett enkelt sätt. Det finns utförligare förklaringar och mer komplicerade alternativ i den engelska verisionen. Det kan även utnyttjas av professionella som en introduktion innan de börjar med den mer krävande engelska delen.</t>
        </r>
      </text>
    </comment>
    <comment ref="K2" authorId="0">
      <text>
        <r>
          <rPr>
            <b/>
            <sz val="8"/>
            <rFont val="Tahoma"/>
            <family val="0"/>
          </rPr>
          <t xml:space="preserve">Pi är fruktbarhet av klon i och </t>
        </r>
        <r>
          <rPr>
            <b/>
            <i/>
            <sz val="8"/>
            <rFont val="Tahoma"/>
            <family val="2"/>
          </rPr>
          <t xml:space="preserve">i  </t>
        </r>
        <r>
          <rPr>
            <b/>
            <sz val="8"/>
            <rFont val="Tahoma"/>
            <family val="2"/>
          </rPr>
          <t xml:space="preserve">är selektionsintensitet </t>
        </r>
      </text>
    </comment>
    <comment ref="A3" authorId="0">
      <text>
        <r>
          <rPr>
            <b/>
            <sz val="8"/>
            <rFont val="Tahoma"/>
            <family val="0"/>
          </rPr>
          <t>Alla kloner i plantagen fungerar som fäder</t>
        </r>
        <r>
          <rPr>
            <sz val="8"/>
            <rFont val="Tahoma"/>
            <family val="0"/>
          </rPr>
          <t xml:space="preserve">
</t>
        </r>
      </text>
    </comment>
    <comment ref="A4" authorId="0">
      <text>
        <r>
          <rPr>
            <sz val="8"/>
            <rFont val="Tahoma"/>
            <family val="0"/>
          </rPr>
          <t xml:space="preserve">Bara de kloner som det plockas kottar från fungerar som mödrar
</t>
        </r>
      </text>
    </comment>
    <comment ref="A5" authorId="0">
      <text>
        <r>
          <rPr>
            <b/>
            <sz val="8"/>
            <rFont val="Tahoma"/>
            <family val="0"/>
          </rPr>
          <t>Fruktbarhetsvariationer mellan klonerna uttrycks med A. De antas vara lika stora på han och honsidan. A kan tolkas som hur mänga gånger fler kloner man måst ha för att få samma effektiva antal. A kan inte vara mindre än 1. Rekommenderade skattningar är 1.8 för gran och 1.6 för tall.</t>
        </r>
      </text>
    </comment>
    <comment ref="A6" authorId="0">
      <text>
        <r>
          <rPr>
            <b/>
            <sz val="8"/>
            <rFont val="Tahoma"/>
            <family val="0"/>
          </rPr>
          <t>Pollenkontaminationen i plantagen är den andel befruktande pollen som inte kommer från plantageklonerna. Lämpliga värden kan vara 0.5 för tall och 0.4 för gran.</t>
        </r>
        <r>
          <rPr>
            <sz val="8"/>
            <rFont val="Tahoma"/>
            <family val="0"/>
          </rPr>
          <t xml:space="preserve">
</t>
        </r>
      </text>
    </comment>
    <comment ref="A7" authorId="0">
      <text>
        <r>
          <rPr>
            <b/>
            <sz val="8"/>
            <rFont val="Tahoma"/>
            <family val="0"/>
          </rPr>
          <t xml:space="preserve">Detta är uttryckt i variationskoefficient mellan plusträd. Medelvärdet för alla plantagekloner är referens. </t>
        </r>
        <r>
          <rPr>
            <sz val="8"/>
            <rFont val="Tahoma"/>
            <family val="0"/>
          </rPr>
          <t xml:space="preserve">
</t>
        </r>
      </text>
    </comment>
    <comment ref="A8" authorId="0">
      <text>
        <r>
          <rPr>
            <b/>
            <sz val="8"/>
            <rFont val="Tahoma"/>
            <family val="0"/>
          </rPr>
          <t>Det effektiva antatet är ett uttryck för plantageskördens diversitet. I en ideal fröplantage blir det effektiva antalet och klonantalet lika</t>
        </r>
        <r>
          <rPr>
            <sz val="8"/>
            <rFont val="Tahoma"/>
            <family val="0"/>
          </rPr>
          <t xml:space="preserve">
</t>
        </r>
      </text>
    </comment>
  </commentList>
</comments>
</file>

<file path=xl/sharedStrings.xml><?xml version="1.0" encoding="utf-8"?>
<sst xmlns="http://schemas.openxmlformats.org/spreadsheetml/2006/main" count="192" uniqueCount="129">
  <si>
    <t xml:space="preserve">SEED ORCHARD MANAGEMENT - RELATEDNESS AND GAIN </t>
  </si>
  <si>
    <t xml:space="preserve">Color codes are: </t>
  </si>
  <si>
    <t>Input</t>
  </si>
  <si>
    <t>Results</t>
  </si>
  <si>
    <t>General settings</t>
  </si>
  <si>
    <t>Seed orchard crop</t>
  </si>
  <si>
    <t>Formulas and intermediary values</t>
  </si>
  <si>
    <t>Studied case</t>
  </si>
  <si>
    <t>Formula for gain</t>
  </si>
  <si>
    <t>Group
coancestry</t>
  </si>
  <si>
    <t>Formula for group coancestry</t>
  </si>
  <si>
    <t>Initial seed orchard crop</t>
  </si>
  <si>
    <t>Harvest best clones, no thinning</t>
  </si>
  <si>
    <t>Clones used for cone harvest</t>
  </si>
  <si>
    <t>Genetic thinning</t>
  </si>
  <si>
    <t>Remaining clones</t>
  </si>
  <si>
    <t>Clones which serve as pollen source</t>
  </si>
  <si>
    <t>Harvested clones</t>
  </si>
  <si>
    <t>Combined effect</t>
  </si>
  <si>
    <t>Different (or partly different) seed and pollen parents</t>
  </si>
  <si>
    <t>Number of candidates clones were selected from</t>
  </si>
  <si>
    <t>Clones serving as pollen source</t>
  </si>
  <si>
    <t>Clones serving as seed source</t>
  </si>
  <si>
    <t>Clones serving as both seed and pollen source</t>
  </si>
  <si>
    <t>Designations</t>
  </si>
  <si>
    <t>i =</t>
  </si>
  <si>
    <t>selection intensity</t>
  </si>
  <si>
    <t>N</t>
  </si>
  <si>
    <r>
      <t>a</t>
    </r>
    <r>
      <rPr>
        <sz val="10"/>
        <rFont val="Arial"/>
        <family val="2"/>
      </rPr>
      <t xml:space="preserve"> =</t>
    </r>
  </si>
  <si>
    <r>
      <t>F</t>
    </r>
    <r>
      <rPr>
        <sz val="10"/>
        <rFont val="Arial"/>
        <family val="0"/>
      </rPr>
      <t>(</t>
    </r>
    <r>
      <rPr>
        <i/>
        <sz val="10"/>
        <rFont val="Arial"/>
        <family val="2"/>
      </rPr>
      <t>x</t>
    </r>
    <r>
      <rPr>
        <sz val="10"/>
        <rFont val="Arial"/>
        <family val="0"/>
      </rPr>
      <t>)=</t>
    </r>
    <r>
      <rPr>
        <i/>
        <sz val="10"/>
        <rFont val="Arial"/>
        <family val="2"/>
      </rPr>
      <t>x</t>
    </r>
    <r>
      <rPr>
        <vertAlign val="superscript"/>
        <sz val="10"/>
        <rFont val="Arial"/>
        <family val="2"/>
      </rPr>
      <t>a</t>
    </r>
  </si>
  <si>
    <r>
      <t>a</t>
    </r>
    <r>
      <rPr>
        <sz val="10"/>
        <rFont val="Arial"/>
        <family val="0"/>
      </rPr>
      <t>=</t>
    </r>
  </si>
  <si>
    <t>exponent of power function which can not be less than 1</t>
  </si>
  <si>
    <t>Group coancestry (average coancestry, average kinship) of orchard clones</t>
  </si>
  <si>
    <t>Census number of clones in a seed orchard</t>
  </si>
  <si>
    <r>
      <t>s</t>
    </r>
    <r>
      <rPr>
        <vertAlign val="subscript"/>
        <sz val="10"/>
        <rFont val="Arial"/>
        <family val="2"/>
      </rPr>
      <t>A</t>
    </r>
    <r>
      <rPr>
        <sz val="10"/>
        <rFont val="Arial"/>
        <family val="2"/>
      </rPr>
      <t>=</t>
    </r>
  </si>
  <si>
    <t>Variance effective population size</t>
  </si>
  <si>
    <t>Information needed for gain is only in italics</t>
  </si>
  <si>
    <t>Genetic thinning first, then harvest best clones</t>
  </si>
  <si>
    <t>Migration rate by pollen contamination</t>
  </si>
  <si>
    <t>Status effective number</t>
  </si>
  <si>
    <r>
      <t>GD</t>
    </r>
    <r>
      <rPr>
        <sz val="10"/>
        <rFont val="Arial"/>
        <family val="0"/>
      </rPr>
      <t>=</t>
    </r>
  </si>
  <si>
    <t>Relative gene diversity of seed crop</t>
  </si>
  <si>
    <r>
      <t>N</t>
    </r>
    <r>
      <rPr>
        <i/>
        <vertAlign val="subscript"/>
        <sz val="10"/>
        <rFont val="Arial"/>
        <family val="2"/>
      </rPr>
      <t>s</t>
    </r>
    <r>
      <rPr>
        <sz val="10"/>
        <rFont val="Arial"/>
        <family val="2"/>
      </rPr>
      <t>=</t>
    </r>
  </si>
  <si>
    <r>
      <t>N</t>
    </r>
    <r>
      <rPr>
        <sz val="10"/>
        <rFont val="Arial"/>
        <family val="2"/>
      </rPr>
      <t xml:space="preserve"> =</t>
    </r>
  </si>
  <si>
    <r>
      <t>N</t>
    </r>
    <r>
      <rPr>
        <i/>
        <vertAlign val="subscript"/>
        <sz val="10"/>
        <rFont val="Arial"/>
        <family val="2"/>
      </rPr>
      <t>e</t>
    </r>
    <r>
      <rPr>
        <vertAlign val="superscript"/>
        <sz val="10"/>
        <rFont val="Arial"/>
        <family val="2"/>
      </rPr>
      <t>(</t>
    </r>
    <r>
      <rPr>
        <i/>
        <vertAlign val="superscript"/>
        <sz val="10"/>
        <rFont val="Arial"/>
        <family val="2"/>
      </rPr>
      <t>v</t>
    </r>
    <r>
      <rPr>
        <vertAlign val="superscript"/>
        <sz val="10"/>
        <rFont val="Arial"/>
        <family val="2"/>
      </rPr>
      <t>)</t>
    </r>
    <r>
      <rPr>
        <sz val="10"/>
        <rFont val="Arial"/>
        <family val="2"/>
      </rPr>
      <t>=</t>
    </r>
  </si>
  <si>
    <r>
      <t>G</t>
    </r>
    <r>
      <rPr>
        <sz val="10"/>
        <rFont val="Arial"/>
        <family val="2"/>
      </rPr>
      <t xml:space="preserve"> =</t>
    </r>
  </si>
  <si>
    <r>
      <t>N</t>
    </r>
    <r>
      <rPr>
        <i/>
        <vertAlign val="subscript"/>
        <sz val="10"/>
        <rFont val="Arial"/>
        <family val="2"/>
      </rPr>
      <t>m</t>
    </r>
    <r>
      <rPr>
        <sz val="10"/>
        <rFont val="Arial"/>
        <family val="0"/>
      </rPr>
      <t>=</t>
    </r>
  </si>
  <si>
    <r>
      <t>N</t>
    </r>
    <r>
      <rPr>
        <i/>
        <vertAlign val="subscript"/>
        <sz val="10"/>
        <rFont val="Arial"/>
        <family val="2"/>
      </rPr>
      <t>f</t>
    </r>
    <r>
      <rPr>
        <vertAlign val="subscript"/>
        <sz val="10"/>
        <rFont val="Arial"/>
        <family val="2"/>
      </rPr>
      <t xml:space="preserve">  </t>
    </r>
    <r>
      <rPr>
        <sz val="10"/>
        <rFont val="Arial"/>
        <family val="0"/>
      </rPr>
      <t>=</t>
    </r>
  </si>
  <si>
    <r>
      <t>N</t>
    </r>
    <r>
      <rPr>
        <i/>
        <vertAlign val="subscript"/>
        <sz val="10"/>
        <rFont val="Arial"/>
        <family val="2"/>
      </rPr>
      <t>mf</t>
    </r>
    <r>
      <rPr>
        <sz val="10"/>
        <rFont val="Arial"/>
        <family val="0"/>
      </rPr>
      <t>=</t>
    </r>
  </si>
  <si>
    <t xml:space="preserve">SÄRPLOCKNING I FRÖPLANTAGER </t>
  </si>
  <si>
    <t>Formler</t>
  </si>
  <si>
    <t>Antal kloner i plantagen (fäder, N)</t>
  </si>
  <si>
    <r>
      <t>Antal kloner som särplockas (mödrar, N</t>
    </r>
    <r>
      <rPr>
        <b/>
        <vertAlign val="subscript"/>
        <sz val="10"/>
        <color indexed="57"/>
        <rFont val="Arial"/>
        <family val="2"/>
      </rPr>
      <t>m</t>
    </r>
    <r>
      <rPr>
        <b/>
        <sz val="10"/>
        <color indexed="57"/>
        <rFont val="Arial"/>
        <family val="2"/>
      </rPr>
      <t>)</t>
    </r>
  </si>
  <si>
    <t>Fruktbarhetsvariationer (A)</t>
  </si>
  <si>
    <t>Genetiskt vinst av särplockning  (G)</t>
  </si>
  <si>
    <r>
      <t>Effektivt antal (N</t>
    </r>
    <r>
      <rPr>
        <b/>
        <vertAlign val="subscript"/>
        <sz val="10"/>
        <color indexed="57"/>
        <rFont val="Arial"/>
        <family val="2"/>
      </rPr>
      <t>eff</t>
    </r>
    <r>
      <rPr>
        <b/>
        <sz val="10"/>
        <color indexed="57"/>
        <rFont val="Arial"/>
        <family val="2"/>
      </rPr>
      <t>)</t>
    </r>
  </si>
  <si>
    <t>Initial seed orchard consisting of 100 unrelaed clones</t>
  </si>
  <si>
    <t>Pollenkontamination (c)</t>
  </si>
  <si>
    <t>Dag Lindgren 1999-10-05</t>
  </si>
  <si>
    <t>Intermediary values</t>
  </si>
  <si>
    <t>Pollen contamination (%) =</t>
  </si>
  <si>
    <r>
      <t>(1-</t>
    </r>
    <r>
      <rPr>
        <i/>
        <sz val="9"/>
        <rFont val="Arial"/>
        <family val="2"/>
      </rPr>
      <t>M</t>
    </r>
    <r>
      <rPr>
        <sz val="9"/>
        <rFont val="Arial"/>
        <family val="2"/>
      </rPr>
      <t>)</t>
    </r>
    <r>
      <rPr>
        <vertAlign val="superscript"/>
        <sz val="9"/>
        <rFont val="Arial"/>
        <family val="2"/>
      </rPr>
      <t xml:space="preserve">2 </t>
    </r>
    <r>
      <rPr>
        <sz val="9"/>
        <rFont val="Arial"/>
        <family val="2"/>
      </rPr>
      <t>=</t>
    </r>
  </si>
  <si>
    <r>
      <t>M</t>
    </r>
    <r>
      <rPr>
        <sz val="9"/>
        <rFont val="Arial"/>
        <family val="2"/>
      </rPr>
      <t xml:space="preserve"> =</t>
    </r>
  </si>
  <si>
    <t>C =</t>
  </si>
  <si>
    <t>MC =</t>
  </si>
  <si>
    <r>
      <t>A</t>
    </r>
    <r>
      <rPr>
        <i/>
        <vertAlign val="subscript"/>
        <sz val="10"/>
        <rFont val="Arial"/>
        <family val="2"/>
      </rPr>
      <t>m</t>
    </r>
    <r>
      <rPr>
        <sz val="10"/>
        <rFont val="Arial"/>
        <family val="2"/>
      </rPr>
      <t xml:space="preserve"> = </t>
    </r>
  </si>
  <si>
    <r>
      <t>A</t>
    </r>
    <r>
      <rPr>
        <i/>
        <vertAlign val="subscript"/>
        <sz val="10"/>
        <rFont val="Arial"/>
        <family val="2"/>
      </rPr>
      <t>f</t>
    </r>
    <r>
      <rPr>
        <vertAlign val="subscript"/>
        <sz val="10"/>
        <rFont val="Arial"/>
        <family val="2"/>
      </rPr>
      <t xml:space="preserve"> </t>
    </r>
    <r>
      <rPr>
        <sz val="10"/>
        <rFont val="Arial"/>
        <family val="2"/>
      </rPr>
      <t xml:space="preserve">= </t>
    </r>
  </si>
  <si>
    <r>
      <t>p</t>
    </r>
    <r>
      <rPr>
        <i/>
        <vertAlign val="subscript"/>
        <sz val="10"/>
        <rFont val="Arial"/>
        <family val="2"/>
      </rPr>
      <t>i</t>
    </r>
  </si>
  <si>
    <r>
      <t>Clone
number (</t>
    </r>
    <r>
      <rPr>
        <i/>
        <sz val="8"/>
        <rFont val="Arial"/>
        <family val="2"/>
      </rPr>
      <t>N</t>
    </r>
    <r>
      <rPr>
        <sz val="8"/>
        <rFont val="Arial"/>
        <family val="0"/>
      </rPr>
      <t>)</t>
    </r>
  </si>
  <si>
    <r>
      <t>Status number (</t>
    </r>
    <r>
      <rPr>
        <i/>
        <sz val="8"/>
        <rFont val="Arial"/>
        <family val="2"/>
      </rPr>
      <t>N</t>
    </r>
    <r>
      <rPr>
        <i/>
        <vertAlign val="subscript"/>
        <sz val="8"/>
        <rFont val="Arial"/>
        <family val="2"/>
      </rPr>
      <t>s</t>
    </r>
    <r>
      <rPr>
        <sz val="8"/>
        <rFont val="Arial"/>
        <family val="0"/>
      </rPr>
      <t>)</t>
    </r>
  </si>
  <si>
    <r>
      <t>Variance effective number (</t>
    </r>
    <r>
      <rPr>
        <i/>
        <sz val="8"/>
        <rFont val="Arial"/>
        <family val="2"/>
      </rPr>
      <t>N</t>
    </r>
    <r>
      <rPr>
        <i/>
        <vertAlign val="subscript"/>
        <sz val="8"/>
        <rFont val="Arial"/>
        <family val="2"/>
      </rPr>
      <t>e</t>
    </r>
    <r>
      <rPr>
        <vertAlign val="superscript"/>
        <sz val="8"/>
        <rFont val="Arial"/>
        <family val="2"/>
      </rPr>
      <t>(</t>
    </r>
    <r>
      <rPr>
        <i/>
        <vertAlign val="superscript"/>
        <sz val="8"/>
        <rFont val="Arial"/>
        <family val="2"/>
      </rPr>
      <t>v</t>
    </r>
    <r>
      <rPr>
        <vertAlign val="superscript"/>
        <sz val="8"/>
        <rFont val="Arial"/>
        <family val="2"/>
      </rPr>
      <t>)</t>
    </r>
    <r>
      <rPr>
        <sz val="8"/>
        <rFont val="Arial"/>
        <family val="0"/>
      </rPr>
      <t>)</t>
    </r>
  </si>
  <si>
    <r>
      <t>Relative gene diversity (</t>
    </r>
    <r>
      <rPr>
        <i/>
        <sz val="8"/>
        <rFont val="Arial"/>
        <family val="2"/>
      </rPr>
      <t>GD</t>
    </r>
    <r>
      <rPr>
        <sz val="8"/>
        <rFont val="Arial"/>
        <family val="0"/>
      </rPr>
      <t>)</t>
    </r>
  </si>
  <si>
    <r>
      <t xml:space="preserve">Genetic
 value </t>
    </r>
    <r>
      <rPr>
        <sz val="8"/>
        <rFont val="Arial"/>
        <family val="2"/>
      </rPr>
      <t>(</t>
    </r>
    <r>
      <rPr>
        <i/>
        <sz val="8"/>
        <rFont val="Arial"/>
        <family val="0"/>
      </rPr>
      <t>G</t>
    </r>
    <r>
      <rPr>
        <sz val="8"/>
        <rFont val="Arial"/>
        <family val="2"/>
      </rPr>
      <t>)</t>
    </r>
  </si>
  <si>
    <r>
      <t xml:space="preserve">Selection
intensity </t>
    </r>
    <r>
      <rPr>
        <sz val="8"/>
        <rFont val="Arial"/>
        <family val="2"/>
      </rPr>
      <t>(</t>
    </r>
    <r>
      <rPr>
        <i/>
        <sz val="8"/>
        <rFont val="Arial"/>
        <family val="0"/>
      </rPr>
      <t>i</t>
    </r>
    <r>
      <rPr>
        <sz val="8"/>
        <rFont val="Arial"/>
        <family val="2"/>
      </rPr>
      <t>)</t>
    </r>
  </si>
  <si>
    <r>
      <t>Clone
number (</t>
    </r>
    <r>
      <rPr>
        <i/>
        <sz val="8"/>
        <rFont val="Arial"/>
        <family val="2"/>
      </rPr>
      <t>N</t>
    </r>
    <r>
      <rPr>
        <sz val="8"/>
        <rFont val="Arial"/>
        <family val="2"/>
      </rPr>
      <t>)</t>
    </r>
  </si>
  <si>
    <t>Correlation</t>
  </si>
  <si>
    <t>Coefficient of variance(%) in fertility among father clones</t>
  </si>
  <si>
    <r>
      <t xml:space="preserve">r </t>
    </r>
    <r>
      <rPr>
        <sz val="10"/>
        <rFont val="Arial"/>
        <family val="0"/>
      </rPr>
      <t>=</t>
    </r>
  </si>
  <si>
    <t>Correlation coefficient between mother and father fertility</t>
  </si>
  <si>
    <t>Coefficient of variance(%) in fertility among mather clones</t>
  </si>
  <si>
    <r>
      <t>A</t>
    </r>
    <r>
      <rPr>
        <i/>
        <vertAlign val="subscript"/>
        <sz val="10"/>
        <rFont val="Arial"/>
        <family val="2"/>
      </rPr>
      <t>f</t>
    </r>
    <r>
      <rPr>
        <sz val="10"/>
        <rFont val="Arial"/>
        <family val="0"/>
      </rPr>
      <t>=</t>
    </r>
  </si>
  <si>
    <t>fertility variation of father clones that can not be smaller than 1</t>
  </si>
  <si>
    <r>
      <t>A</t>
    </r>
    <r>
      <rPr>
        <i/>
        <vertAlign val="subscript"/>
        <sz val="10"/>
        <rFont val="Arial"/>
        <family val="2"/>
      </rPr>
      <t>m</t>
    </r>
    <r>
      <rPr>
        <sz val="10"/>
        <rFont val="Arial"/>
        <family val="0"/>
      </rPr>
      <t>=</t>
    </r>
  </si>
  <si>
    <t>fertility variation of mather clones that can not be smaller than 1</t>
  </si>
  <si>
    <t>Contamination inferiority that is a breeding value of contaminating pollen (measured with</t>
  </si>
  <si>
    <r>
      <t>C</t>
    </r>
    <r>
      <rPr>
        <sz val="10"/>
        <rFont val="Arial"/>
        <family val="0"/>
      </rPr>
      <t>=</t>
    </r>
  </si>
  <si>
    <t>the same units as gain, in practice C has usually a negative value)</t>
  </si>
  <si>
    <t>Additive variance (standard deviation of breeding value for orchard clones)</t>
  </si>
  <si>
    <t xml:space="preserve">Genetic gain (breeding value compared to average plus trees, genetic gain is the predicted </t>
  </si>
  <si>
    <t>breeding value of seed orchard crop)</t>
  </si>
  <si>
    <t>number of clones functioning as father</t>
  </si>
  <si>
    <t>number of clones functioning as mother</t>
  </si>
  <si>
    <t>number of clones that functions both as mother and father</t>
  </si>
  <si>
    <r>
      <t>M</t>
    </r>
    <r>
      <rPr>
        <sz val="10"/>
        <rFont val="Arial"/>
        <family val="2"/>
      </rPr>
      <t xml:space="preserve"> =</t>
    </r>
  </si>
  <si>
    <r>
      <t>C.V.</t>
    </r>
    <r>
      <rPr>
        <i/>
        <vertAlign val="subscript"/>
        <sz val="9"/>
        <rFont val="Arial"/>
        <family val="2"/>
      </rPr>
      <t xml:space="preserve"> </t>
    </r>
    <r>
      <rPr>
        <sz val="9"/>
        <rFont val="Arial"/>
        <family val="2"/>
      </rPr>
      <t>(%) =</t>
    </r>
  </si>
  <si>
    <t>sibling coefficient, integral of square contribution of total fertility. It can't be smaller than 1</t>
  </si>
  <si>
    <r>
      <t>A</t>
    </r>
    <r>
      <rPr>
        <i/>
        <vertAlign val="subscript"/>
        <sz val="10"/>
        <rFont val="Arial"/>
        <family val="2"/>
      </rPr>
      <t>t</t>
    </r>
    <r>
      <rPr>
        <sz val="10"/>
        <rFont val="Arial"/>
        <family val="0"/>
      </rPr>
      <t>=</t>
    </r>
  </si>
  <si>
    <t>Gene diversity</t>
  </si>
  <si>
    <t>Genetic
 value (G)</t>
  </si>
  <si>
    <r>
      <t xml:space="preserve">M </t>
    </r>
    <r>
      <rPr>
        <sz val="9"/>
        <rFont val="Arial"/>
        <family val="2"/>
      </rPr>
      <t>=</t>
    </r>
  </si>
  <si>
    <r>
      <t>s</t>
    </r>
    <r>
      <rPr>
        <vertAlign val="subscript"/>
        <sz val="9"/>
        <rFont val="Symbol"/>
        <family val="1"/>
      </rPr>
      <t xml:space="preserve">A </t>
    </r>
    <r>
      <rPr>
        <sz val="9"/>
        <rFont val="Symbol"/>
        <family val="1"/>
      </rPr>
      <t>=</t>
    </r>
  </si>
  <si>
    <r>
      <t>CV</t>
    </r>
    <r>
      <rPr>
        <vertAlign val="subscript"/>
        <sz val="9"/>
        <rFont val="Arial"/>
        <family val="2"/>
      </rPr>
      <t>m</t>
    </r>
    <r>
      <rPr>
        <sz val="9"/>
        <rFont val="Arial"/>
        <family val="2"/>
      </rPr>
      <t>(%) =</t>
    </r>
  </si>
  <si>
    <r>
      <t>CV</t>
    </r>
    <r>
      <rPr>
        <i/>
        <vertAlign val="subscript"/>
        <sz val="9"/>
        <rFont val="Arial"/>
        <family val="2"/>
      </rPr>
      <t xml:space="preserve">f </t>
    </r>
    <r>
      <rPr>
        <sz val="9"/>
        <rFont val="Arial"/>
        <family val="2"/>
      </rPr>
      <t>(%) =</t>
    </r>
  </si>
  <si>
    <r>
      <t>CV</t>
    </r>
    <r>
      <rPr>
        <vertAlign val="subscript"/>
        <sz val="10"/>
        <rFont val="Arial"/>
        <family val="2"/>
      </rPr>
      <t>m</t>
    </r>
    <r>
      <rPr>
        <sz val="10"/>
        <rFont val="Arial"/>
        <family val="0"/>
      </rPr>
      <t>=</t>
    </r>
  </si>
  <si>
    <r>
      <t>CV</t>
    </r>
    <r>
      <rPr>
        <vertAlign val="subscript"/>
        <sz val="10"/>
        <rFont val="Arial"/>
        <family val="2"/>
      </rPr>
      <t>f</t>
    </r>
    <r>
      <rPr>
        <sz val="10"/>
        <rFont val="Arial"/>
        <family val="0"/>
      </rPr>
      <t>=</t>
    </r>
  </si>
  <si>
    <r>
      <t>A</t>
    </r>
    <r>
      <rPr>
        <i/>
        <vertAlign val="subscript"/>
        <sz val="10"/>
        <rFont val="Arial"/>
        <family val="2"/>
      </rPr>
      <t>t</t>
    </r>
    <r>
      <rPr>
        <vertAlign val="subscript"/>
        <sz val="10"/>
        <rFont val="Arial"/>
        <family val="2"/>
      </rPr>
      <t xml:space="preserve"> </t>
    </r>
    <r>
      <rPr>
        <sz val="10"/>
        <rFont val="Arial"/>
        <family val="2"/>
      </rPr>
      <t xml:space="preserve">= </t>
    </r>
  </si>
  <si>
    <t>Clones serving as seed source (Nm)</t>
  </si>
  <si>
    <r>
      <t>Clones serving as pollen source (N</t>
    </r>
    <r>
      <rPr>
        <sz val="8"/>
        <rFont val="Arial"/>
        <family val="2"/>
      </rPr>
      <t>f</t>
    </r>
    <r>
      <rPr>
        <sz val="8"/>
        <rFont val="Arial"/>
        <family val="0"/>
      </rPr>
      <t>)</t>
    </r>
  </si>
  <si>
    <t xml:space="preserve">Aim </t>
  </si>
  <si>
    <t>Method</t>
  </si>
  <si>
    <t>Acknowledgements</t>
  </si>
  <si>
    <t>General about EXCEL sheets on Dag Lindgrens web sites</t>
  </si>
  <si>
    <t>Value for forestry and benefit</t>
  </si>
  <si>
    <t>Initial settings</t>
  </si>
  <si>
    <t>Literature</t>
  </si>
  <si>
    <t>Examples</t>
  </si>
  <si>
    <t>Oversimplifications</t>
  </si>
  <si>
    <t>Suggested changes</t>
  </si>
  <si>
    <t>Explanations</t>
  </si>
  <si>
    <t>Note</t>
  </si>
  <si>
    <r>
      <t xml:space="preserve">  The user should experiment with changing the </t>
    </r>
    <r>
      <rPr>
        <b/>
        <sz val="8"/>
        <color indexed="10"/>
        <rFont val="Arial"/>
        <family val="2"/>
      </rPr>
      <t>red</t>
    </r>
    <r>
      <rPr>
        <b/>
        <sz val="8"/>
        <rFont val="Arial"/>
        <family val="2"/>
      </rPr>
      <t xml:space="preserve"> values, but do not change the </t>
    </r>
    <r>
      <rPr>
        <b/>
        <sz val="8"/>
        <color indexed="12"/>
        <rFont val="Arial"/>
        <family val="2"/>
      </rPr>
      <t>blue</t>
    </r>
    <r>
      <rPr>
        <b/>
        <sz val="8"/>
        <rFont val="Arial"/>
        <family val="2"/>
      </rPr>
      <t>!</t>
    </r>
  </si>
  <si>
    <t>Colour meaning:</t>
  </si>
  <si>
    <t>About</t>
  </si>
  <si>
    <t>Dag Lindgren and Kyu-Suk Kang, last edited by DL 2001-03-09</t>
  </si>
  <si>
    <r>
      <t xml:space="preserve">Clones serving as </t>
    </r>
    <r>
      <rPr>
        <i/>
        <sz val="8"/>
        <rFont val="Arial"/>
        <family val="2"/>
      </rPr>
      <t>both</t>
    </r>
    <r>
      <rPr>
        <sz val="8"/>
        <rFont val="Arial"/>
        <family val="0"/>
      </rPr>
      <t xml:space="preserve"> seed </t>
    </r>
    <r>
      <rPr>
        <i/>
        <sz val="8"/>
        <rFont val="Arial"/>
        <family val="2"/>
      </rPr>
      <t>and</t>
    </r>
    <r>
      <rPr>
        <sz val="8"/>
        <rFont val="Arial"/>
        <family val="0"/>
      </rPr>
      <t xml:space="preserve"> pollen source (Nfm)</t>
    </r>
  </si>
  <si>
    <t>Kyu-Suk Kang and Dag Lindgren, last edited by DL 2000-03-11</t>
  </si>
  <si>
    <t>Information needed for gain only is in italics</t>
  </si>
  <si>
    <t>Kyu-Suk Kang and Dag Lindgren, last edited by DL 2001-03-11</t>
  </si>
  <si>
    <t xml:space="preserve"> Last edit DL 2001-08-01</t>
  </si>
</sst>
</file>

<file path=xl/styles.xml><?xml version="1.0" encoding="utf-8"?>
<styleSheet xmlns="http://schemas.openxmlformats.org/spreadsheetml/2006/main">
  <numFmts count="4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mm/dd/yy"/>
    <numFmt numFmtId="184" formatCode="mmmm\ d\,\ yyyy"/>
    <numFmt numFmtId="185" formatCode="d/mmm/yy"/>
    <numFmt numFmtId="186" formatCode="0E+00"/>
    <numFmt numFmtId="187" formatCode="0.0000000"/>
    <numFmt numFmtId="188" formatCode="0.000000"/>
    <numFmt numFmtId="189" formatCode="0.00000"/>
    <numFmt numFmtId="190" formatCode="_-* #,##0.000\ _k_r_-;\-* #,##0.000\ _k_r_-;_-* &quot;-&quot;??\ _k_r_-;_-@_-"/>
    <numFmt numFmtId="191" formatCode="#&quot; &quot;?/8"/>
    <numFmt numFmtId="192" formatCode="00000"/>
    <numFmt numFmtId="193" formatCode="#&quot; &quot;??/100"/>
    <numFmt numFmtId="194" formatCode="#&quot; &quot;?/10"/>
    <numFmt numFmtId="195" formatCode="#&quot; &quot;?/4"/>
    <numFmt numFmtId="196" formatCode="#&quot; &quot;?/2"/>
    <numFmt numFmtId="197" formatCode="#,##0.00\ _k_r"/>
  </numFmts>
  <fonts count="71">
    <font>
      <sz val="10"/>
      <name val="Arial"/>
      <family val="0"/>
    </font>
    <font>
      <b/>
      <sz val="10"/>
      <name val="Arial"/>
      <family val="0"/>
    </font>
    <font>
      <i/>
      <sz val="10"/>
      <name val="Arial"/>
      <family val="0"/>
    </font>
    <font>
      <b/>
      <i/>
      <sz val="10"/>
      <name val="Arial"/>
      <family val="0"/>
    </font>
    <font>
      <sz val="8"/>
      <name val="Arial"/>
      <family val="2"/>
    </font>
    <font>
      <sz val="8"/>
      <name val="Symbol"/>
      <family val="1"/>
    </font>
    <font>
      <sz val="8"/>
      <color indexed="12"/>
      <name val="Arial"/>
      <family val="2"/>
    </font>
    <font>
      <sz val="8"/>
      <color indexed="8"/>
      <name val="Arial"/>
      <family val="2"/>
    </font>
    <font>
      <b/>
      <sz val="10"/>
      <color indexed="10"/>
      <name val="Arial"/>
      <family val="0"/>
    </font>
    <font>
      <b/>
      <sz val="10"/>
      <color indexed="12"/>
      <name val="Arial"/>
      <family val="2"/>
    </font>
    <font>
      <b/>
      <sz val="16"/>
      <color indexed="14"/>
      <name val="Arial"/>
      <family val="2"/>
    </font>
    <font>
      <sz val="10"/>
      <color indexed="19"/>
      <name val="Arial"/>
      <family val="2"/>
    </font>
    <font>
      <b/>
      <sz val="14"/>
      <color indexed="14"/>
      <name val="Arial"/>
      <family val="2"/>
    </font>
    <font>
      <b/>
      <sz val="12"/>
      <color indexed="14"/>
      <name val="Arial"/>
      <family val="2"/>
    </font>
    <font>
      <sz val="10"/>
      <color indexed="8"/>
      <name val="Arial"/>
      <family val="2"/>
    </font>
    <font>
      <b/>
      <sz val="10"/>
      <color indexed="14"/>
      <name val="Arial"/>
      <family val="0"/>
    </font>
    <font>
      <b/>
      <sz val="9"/>
      <color indexed="14"/>
      <name val="Arial"/>
      <family val="2"/>
    </font>
    <font>
      <sz val="10"/>
      <color indexed="12"/>
      <name val="Arial"/>
      <family val="2"/>
    </font>
    <font>
      <i/>
      <sz val="8"/>
      <name val="Arial"/>
      <family val="0"/>
    </font>
    <font>
      <vertAlign val="superscript"/>
      <sz val="8"/>
      <name val="Arial"/>
      <family val="2"/>
    </font>
    <font>
      <b/>
      <i/>
      <sz val="10"/>
      <color indexed="10"/>
      <name val="Arial"/>
      <family val="2"/>
    </font>
    <font>
      <b/>
      <i/>
      <sz val="10"/>
      <color indexed="12"/>
      <name val="Arial"/>
      <family val="2"/>
    </font>
    <font>
      <i/>
      <sz val="10"/>
      <color indexed="12"/>
      <name val="Arial"/>
      <family val="2"/>
    </font>
    <font>
      <i/>
      <sz val="8"/>
      <color indexed="12"/>
      <name val="Arial"/>
      <family val="2"/>
    </font>
    <font>
      <vertAlign val="subscript"/>
      <sz val="10"/>
      <name val="Arial"/>
      <family val="2"/>
    </font>
    <font>
      <sz val="8"/>
      <name val="Tahoma"/>
      <family val="2"/>
    </font>
    <font>
      <sz val="8"/>
      <color indexed="20"/>
      <name val="Arial"/>
      <family val="2"/>
    </font>
    <font>
      <sz val="10"/>
      <color indexed="10"/>
      <name val="Arial"/>
      <family val="2"/>
    </font>
    <font>
      <b/>
      <sz val="8"/>
      <name val="Tahoma"/>
      <family val="0"/>
    </font>
    <font>
      <vertAlign val="superscript"/>
      <sz val="10"/>
      <name val="Arial"/>
      <family val="2"/>
    </font>
    <font>
      <i/>
      <sz val="8"/>
      <name val="Tahoma"/>
      <family val="2"/>
    </font>
    <font>
      <sz val="10"/>
      <name val="Symbol"/>
      <family val="1"/>
    </font>
    <font>
      <sz val="10"/>
      <color indexed="14"/>
      <name val="Arial"/>
      <family val="2"/>
    </font>
    <font>
      <i/>
      <sz val="10"/>
      <color indexed="8"/>
      <name val="Arial"/>
      <family val="2"/>
    </font>
    <font>
      <i/>
      <vertAlign val="subscript"/>
      <sz val="10"/>
      <name val="Arial"/>
      <family val="2"/>
    </font>
    <font>
      <sz val="9"/>
      <color indexed="12"/>
      <name val="Arial"/>
      <family val="2"/>
    </font>
    <font>
      <b/>
      <sz val="10"/>
      <color indexed="8"/>
      <name val="Arial"/>
      <family val="2"/>
    </font>
    <font>
      <sz val="8"/>
      <color indexed="10"/>
      <name val="Tahoma"/>
      <family val="2"/>
    </font>
    <font>
      <sz val="8"/>
      <color indexed="12"/>
      <name val="Tahoma"/>
      <family val="2"/>
    </font>
    <font>
      <sz val="9"/>
      <name val="Arial"/>
      <family val="2"/>
    </font>
    <font>
      <sz val="8"/>
      <color indexed="8"/>
      <name val="Tahoma"/>
      <family val="2"/>
    </font>
    <font>
      <i/>
      <vertAlign val="superscript"/>
      <sz val="10"/>
      <name val="Arial"/>
      <family val="2"/>
    </font>
    <font>
      <b/>
      <sz val="10"/>
      <color indexed="57"/>
      <name val="Arial"/>
      <family val="2"/>
    </font>
    <font>
      <b/>
      <vertAlign val="subscript"/>
      <sz val="10"/>
      <color indexed="57"/>
      <name val="Arial"/>
      <family val="2"/>
    </font>
    <font>
      <b/>
      <i/>
      <sz val="8"/>
      <name val="Tahoma"/>
      <family val="2"/>
    </font>
    <font>
      <b/>
      <sz val="9"/>
      <name val="Arial"/>
      <family val="2"/>
    </font>
    <font>
      <vertAlign val="subscript"/>
      <sz val="9"/>
      <name val="Arial"/>
      <family val="2"/>
    </font>
    <font>
      <i/>
      <vertAlign val="subscript"/>
      <sz val="9"/>
      <name val="Arial"/>
      <family val="2"/>
    </font>
    <font>
      <i/>
      <vertAlign val="subscript"/>
      <sz val="8"/>
      <name val="Arial"/>
      <family val="2"/>
    </font>
    <font>
      <sz val="9"/>
      <name val="Symbol"/>
      <family val="1"/>
    </font>
    <font>
      <vertAlign val="subscript"/>
      <sz val="9"/>
      <name val="Symbol"/>
      <family val="1"/>
    </font>
    <font>
      <i/>
      <sz val="9"/>
      <name val="Arial"/>
      <family val="2"/>
    </font>
    <font>
      <vertAlign val="superscript"/>
      <sz val="9"/>
      <name val="Arial"/>
      <family val="2"/>
    </font>
    <font>
      <b/>
      <sz val="15"/>
      <color indexed="14"/>
      <name val="Arial"/>
      <family val="2"/>
    </font>
    <font>
      <i/>
      <vertAlign val="superscript"/>
      <sz val="8"/>
      <name val="Arial"/>
      <family val="2"/>
    </font>
    <font>
      <b/>
      <sz val="10.25"/>
      <name val="Arial"/>
      <family val="2"/>
    </font>
    <font>
      <sz val="9.25"/>
      <name val="Arial"/>
      <family val="2"/>
    </font>
    <font>
      <sz val="8"/>
      <color indexed="14"/>
      <name val="Tahoma"/>
      <family val="2"/>
    </font>
    <font>
      <i/>
      <vertAlign val="subscript"/>
      <sz val="10"/>
      <color indexed="8"/>
      <name val="Arial"/>
      <family val="2"/>
    </font>
    <font>
      <vertAlign val="superscript"/>
      <sz val="10"/>
      <color indexed="8"/>
      <name val="Arial"/>
      <family val="2"/>
    </font>
    <font>
      <i/>
      <vertAlign val="superscript"/>
      <sz val="10"/>
      <color indexed="8"/>
      <name val="Arial"/>
      <family val="2"/>
    </font>
    <font>
      <b/>
      <sz val="8"/>
      <name val="Arial"/>
      <family val="2"/>
    </font>
    <font>
      <b/>
      <sz val="9"/>
      <color indexed="13"/>
      <name val="Arial"/>
      <family val="2"/>
    </font>
    <font>
      <b/>
      <sz val="8"/>
      <color indexed="10"/>
      <name val="Arial"/>
      <family val="2"/>
    </font>
    <font>
      <b/>
      <sz val="8"/>
      <color indexed="12"/>
      <name val="Arial"/>
      <family val="2"/>
    </font>
    <font>
      <b/>
      <sz val="8"/>
      <color indexed="10"/>
      <name val="Tahoma"/>
      <family val="2"/>
    </font>
    <font>
      <b/>
      <i/>
      <sz val="8"/>
      <color indexed="10"/>
      <name val="Tahoma"/>
      <family val="2"/>
    </font>
    <font>
      <b/>
      <sz val="8"/>
      <color indexed="12"/>
      <name val="Tahoma"/>
      <family val="2"/>
    </font>
    <font>
      <b/>
      <sz val="8"/>
      <color indexed="40"/>
      <name val="Tahoma"/>
      <family val="2"/>
    </font>
    <font>
      <sz val="8"/>
      <color indexed="40"/>
      <name val="Tahoma"/>
      <family val="2"/>
    </font>
    <font>
      <b/>
      <sz val="10"/>
      <name val="Tahoma"/>
      <family val="2"/>
    </font>
  </fonts>
  <fills count="9">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21"/>
        <bgColor indexed="64"/>
      </patternFill>
    </fill>
    <fill>
      <patternFill patternType="solid">
        <fgColor indexed="47"/>
        <bgColor indexed="64"/>
      </patternFill>
    </fill>
    <fill>
      <patternFill patternType="solid">
        <fgColor indexed="48"/>
        <bgColor indexed="64"/>
      </patternFill>
    </fill>
  </fills>
  <borders count="27">
    <border>
      <left/>
      <right/>
      <top/>
      <bottom/>
      <diagonal/>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color indexed="63"/>
      </right>
      <top>
        <color indexed="63"/>
      </top>
      <bottom>
        <color indexed="63"/>
      </bottom>
    </border>
    <border>
      <left>
        <color indexed="63"/>
      </left>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style="thin"/>
      <bottom style="thin"/>
    </border>
    <border>
      <left style="thin"/>
      <right>
        <color indexed="63"/>
      </right>
      <top style="thick">
        <color indexed="24"/>
      </top>
      <bottom>
        <color indexed="63"/>
      </bottom>
    </border>
    <border>
      <left>
        <color indexed="63"/>
      </left>
      <right>
        <color indexed="63"/>
      </right>
      <top style="thick">
        <color indexed="24"/>
      </top>
      <bottom>
        <color indexed="63"/>
      </bottom>
    </border>
    <border>
      <left>
        <color indexed="63"/>
      </left>
      <right style="thick">
        <color indexed="24"/>
      </right>
      <top style="thick">
        <color indexed="24"/>
      </top>
      <bottom>
        <color indexed="63"/>
      </bottom>
    </border>
    <border>
      <left style="thin"/>
      <right>
        <color indexed="63"/>
      </right>
      <top>
        <color indexed="63"/>
      </top>
      <bottom style="thick">
        <color indexed="24"/>
      </bottom>
    </border>
    <border>
      <left>
        <color indexed="63"/>
      </left>
      <right>
        <color indexed="63"/>
      </right>
      <top>
        <color indexed="63"/>
      </top>
      <bottom style="thick">
        <color indexed="24"/>
      </bottom>
    </border>
    <border>
      <left>
        <color indexed="63"/>
      </left>
      <right style="thick">
        <color indexed="24"/>
      </right>
      <top>
        <color indexed="63"/>
      </top>
      <bottom style="thick">
        <color indexed="24"/>
      </bottom>
    </border>
    <border>
      <left style="thick">
        <color indexed="24"/>
      </left>
      <right style="thin"/>
      <top style="thick">
        <color indexed="24"/>
      </top>
      <bottom>
        <color indexed="63"/>
      </bottom>
    </border>
    <border>
      <left style="thick">
        <color indexed="24"/>
      </left>
      <right style="thin"/>
      <top>
        <color indexed="63"/>
      </top>
      <bottom style="thick">
        <color indexed="24"/>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1">
    <xf numFmtId="0" fontId="0" fillId="0" borderId="0" xfId="0" applyAlignment="1">
      <alignment/>
    </xf>
    <xf numFmtId="0" fontId="4" fillId="0" borderId="0" xfId="0" applyFont="1" applyAlignment="1">
      <alignment/>
    </xf>
    <xf numFmtId="0" fontId="6" fillId="0" borderId="0" xfId="0" applyFont="1" applyAlignment="1">
      <alignment/>
    </xf>
    <xf numFmtId="0" fontId="5" fillId="0" borderId="0" xfId="0" applyFont="1" applyAlignment="1">
      <alignment horizontal="right"/>
    </xf>
    <xf numFmtId="0" fontId="7" fillId="0" borderId="0" xfId="0" applyFont="1" applyAlignment="1">
      <alignment/>
    </xf>
    <xf numFmtId="0" fontId="4" fillId="0" borderId="0" xfId="0" applyFont="1" applyAlignment="1">
      <alignment horizontal="left"/>
    </xf>
    <xf numFmtId="0" fontId="8" fillId="2" borderId="0" xfId="0" applyFont="1" applyFill="1" applyAlignment="1">
      <alignment/>
    </xf>
    <xf numFmtId="0" fontId="7" fillId="0" borderId="0" xfId="0" applyFont="1" applyFill="1" applyAlignment="1">
      <alignment/>
    </xf>
    <xf numFmtId="0" fontId="10" fillId="0" borderId="0" xfId="0" applyFont="1" applyFill="1" applyAlignment="1">
      <alignment vertical="top"/>
    </xf>
    <xf numFmtId="0" fontId="4" fillId="0" borderId="0" xfId="0" applyFont="1" applyAlignment="1">
      <alignment vertical="top"/>
    </xf>
    <xf numFmtId="0" fontId="0" fillId="0" borderId="0" xfId="0" applyAlignment="1">
      <alignment vertical="top"/>
    </xf>
    <xf numFmtId="0" fontId="11" fillId="0" borderId="0" xfId="0" applyFont="1" applyAlignment="1">
      <alignment/>
    </xf>
    <xf numFmtId="0" fontId="15" fillId="0" borderId="0" xfId="0" applyFont="1" applyAlignment="1">
      <alignment/>
    </xf>
    <xf numFmtId="0" fontId="4" fillId="0" borderId="0" xfId="0" applyFont="1" applyBorder="1" applyAlignment="1">
      <alignment/>
    </xf>
    <xf numFmtId="0" fontId="4" fillId="0" borderId="0" xfId="0" applyFont="1" applyAlignment="1">
      <alignment/>
    </xf>
    <xf numFmtId="0" fontId="16" fillId="0" borderId="0" xfId="0" applyFont="1" applyAlignment="1">
      <alignment/>
    </xf>
    <xf numFmtId="0" fontId="17" fillId="0" borderId="0" xfId="0" applyFont="1" applyAlignment="1">
      <alignment/>
    </xf>
    <xf numFmtId="0" fontId="8" fillId="0" borderId="0" xfId="0" applyFont="1" applyAlignment="1">
      <alignment/>
    </xf>
    <xf numFmtId="0" fontId="1" fillId="0" borderId="0" xfId="0" applyFont="1" applyAlignment="1">
      <alignment/>
    </xf>
    <xf numFmtId="0" fontId="6" fillId="0" borderId="0" xfId="0" applyFont="1" applyAlignment="1">
      <alignment/>
    </xf>
    <xf numFmtId="180" fontId="18" fillId="0" borderId="0" xfId="0" applyNumberFormat="1" applyFont="1" applyAlignment="1">
      <alignment/>
    </xf>
    <xf numFmtId="0" fontId="16" fillId="0" borderId="1" xfId="0" applyFont="1" applyBorder="1" applyAlignment="1">
      <alignment/>
    </xf>
    <xf numFmtId="0" fontId="4" fillId="0" borderId="1" xfId="0" applyFont="1" applyBorder="1" applyAlignment="1">
      <alignment/>
    </xf>
    <xf numFmtId="0" fontId="18" fillId="0" borderId="0" xfId="0" applyFont="1" applyAlignment="1">
      <alignment horizontal="right"/>
    </xf>
    <xf numFmtId="0" fontId="0" fillId="0" borderId="0" xfId="0" applyAlignment="1">
      <alignment horizontal="right"/>
    </xf>
    <xf numFmtId="0" fontId="18" fillId="0" borderId="0" xfId="0" applyFont="1" applyAlignment="1">
      <alignment/>
    </xf>
    <xf numFmtId="0" fontId="8" fillId="0" borderId="1" xfId="0" applyFont="1" applyBorder="1" applyAlignment="1">
      <alignment/>
    </xf>
    <xf numFmtId="0" fontId="20" fillId="0" borderId="0" xfId="0" applyFont="1" applyAlignment="1">
      <alignment/>
    </xf>
    <xf numFmtId="182" fontId="9" fillId="2" borderId="1" xfId="0" applyNumberFormat="1" applyFont="1" applyFill="1" applyBorder="1" applyAlignment="1">
      <alignment/>
    </xf>
    <xf numFmtId="180" fontId="21" fillId="2" borderId="1" xfId="0" applyNumberFormat="1" applyFont="1" applyFill="1" applyBorder="1" applyAlignment="1">
      <alignment/>
    </xf>
    <xf numFmtId="182" fontId="9" fillId="2" borderId="0" xfId="0" applyNumberFormat="1" applyFont="1" applyFill="1" applyAlignment="1">
      <alignment/>
    </xf>
    <xf numFmtId="180" fontId="21" fillId="2" borderId="0" xfId="0" applyNumberFormat="1" applyFont="1" applyFill="1" applyAlignment="1">
      <alignment/>
    </xf>
    <xf numFmtId="182" fontId="17" fillId="0" borderId="0" xfId="0" applyNumberFormat="1" applyFont="1" applyFill="1" applyAlignment="1">
      <alignment/>
    </xf>
    <xf numFmtId="180" fontId="22" fillId="0" borderId="0" xfId="0" applyNumberFormat="1" applyFont="1" applyFill="1" applyAlignment="1">
      <alignment/>
    </xf>
    <xf numFmtId="180" fontId="23" fillId="0" borderId="0" xfId="0" applyNumberFormat="1" applyFont="1" applyFill="1" applyAlignment="1">
      <alignment/>
    </xf>
    <xf numFmtId="0" fontId="22" fillId="0" borderId="0" xfId="0" applyFont="1" applyFill="1" applyAlignment="1">
      <alignment/>
    </xf>
    <xf numFmtId="180" fontId="21" fillId="0" borderId="0" xfId="0" applyNumberFormat="1" applyFont="1" applyFill="1" applyAlignment="1">
      <alignment/>
    </xf>
    <xf numFmtId="0" fontId="23" fillId="0" borderId="0" xfId="0" applyFont="1" applyAlignment="1">
      <alignment/>
    </xf>
    <xf numFmtId="0" fontId="2" fillId="0" borderId="0" xfId="0" applyFont="1" applyAlignment="1">
      <alignment horizontal="right"/>
    </xf>
    <xf numFmtId="0" fontId="16" fillId="0" borderId="0" xfId="0" applyFont="1" applyBorder="1" applyAlignment="1">
      <alignment/>
    </xf>
    <xf numFmtId="0" fontId="4" fillId="0" borderId="0" xfId="0" applyFont="1" applyBorder="1" applyAlignment="1">
      <alignment/>
    </xf>
    <xf numFmtId="0" fontId="8" fillId="0" borderId="0" xfId="0" applyFont="1" applyBorder="1" applyAlignment="1">
      <alignment/>
    </xf>
    <xf numFmtId="182" fontId="17" fillId="0" borderId="0" xfId="0" applyNumberFormat="1" applyFont="1" applyFill="1" applyBorder="1" applyAlignment="1">
      <alignment/>
    </xf>
    <xf numFmtId="180" fontId="23" fillId="0" borderId="0" xfId="0" applyNumberFormat="1" applyFont="1" applyFill="1" applyBorder="1" applyAlignment="1">
      <alignment/>
    </xf>
    <xf numFmtId="0" fontId="0" fillId="0" borderId="0" xfId="0" applyBorder="1" applyAlignment="1">
      <alignment/>
    </xf>
    <xf numFmtId="0" fontId="20" fillId="2" borderId="0" xfId="0" applyFont="1" applyFill="1" applyAlignment="1">
      <alignment/>
    </xf>
    <xf numFmtId="181" fontId="6" fillId="0" borderId="0" xfId="0" applyNumberFormat="1" applyFont="1" applyFill="1" applyAlignment="1">
      <alignment/>
    </xf>
    <xf numFmtId="0" fontId="6" fillId="0" borderId="0" xfId="0" applyFont="1" applyBorder="1" applyAlignment="1">
      <alignment/>
    </xf>
    <xf numFmtId="2" fontId="0" fillId="0" borderId="0" xfId="0" applyNumberFormat="1" applyAlignment="1">
      <alignment/>
    </xf>
    <xf numFmtId="182" fontId="9" fillId="2" borderId="0" xfId="0" applyNumberFormat="1" applyFont="1" applyFill="1" applyBorder="1" applyAlignment="1">
      <alignment/>
    </xf>
    <xf numFmtId="0" fontId="26" fillId="0" borderId="0" xfId="0" applyFont="1" applyBorder="1" applyAlignment="1">
      <alignment wrapText="1"/>
    </xf>
    <xf numFmtId="182" fontId="4" fillId="0" borderId="0" xfId="0" applyNumberFormat="1" applyFont="1" applyAlignment="1">
      <alignment/>
    </xf>
    <xf numFmtId="0" fontId="2" fillId="0" borderId="0" xfId="0" applyFont="1" applyAlignment="1">
      <alignment horizontal="center"/>
    </xf>
    <xf numFmtId="181" fontId="4" fillId="0" borderId="0" xfId="0" applyNumberFormat="1" applyFont="1" applyAlignment="1">
      <alignment/>
    </xf>
    <xf numFmtId="181" fontId="0" fillId="0" borderId="0" xfId="0" applyNumberFormat="1" applyAlignment="1">
      <alignment/>
    </xf>
    <xf numFmtId="2" fontId="6" fillId="0" borderId="0" xfId="0" applyNumberFormat="1" applyFont="1" applyFill="1" applyAlignment="1">
      <alignment/>
    </xf>
    <xf numFmtId="0" fontId="2" fillId="0" borderId="0" xfId="0" applyFont="1" applyAlignment="1">
      <alignment horizontal="right"/>
    </xf>
    <xf numFmtId="0" fontId="2" fillId="0" borderId="0" xfId="0" applyFont="1" applyAlignment="1">
      <alignment/>
    </xf>
    <xf numFmtId="181" fontId="2" fillId="0" borderId="0" xfId="0" applyNumberFormat="1" applyFont="1" applyAlignment="1">
      <alignment horizontal="left"/>
    </xf>
    <xf numFmtId="180" fontId="9" fillId="3" borderId="0" xfId="0" applyNumberFormat="1" applyFont="1" applyFill="1" applyBorder="1" applyAlignment="1">
      <alignment/>
    </xf>
    <xf numFmtId="180" fontId="9" fillId="3" borderId="1" xfId="0" applyNumberFormat="1" applyFont="1" applyFill="1" applyBorder="1" applyAlignment="1">
      <alignment/>
    </xf>
    <xf numFmtId="0" fontId="31" fillId="0" borderId="0" xfId="0" applyFont="1" applyAlignment="1">
      <alignment horizontal="right"/>
    </xf>
    <xf numFmtId="0" fontId="4" fillId="0" borderId="2" xfId="0" applyFont="1" applyBorder="1" applyAlignment="1">
      <alignment horizontal="centerContinuous"/>
    </xf>
    <xf numFmtId="0" fontId="0" fillId="0" borderId="0" xfId="0" applyFont="1" applyAlignment="1">
      <alignment horizontal="left"/>
    </xf>
    <xf numFmtId="0" fontId="32" fillId="0" borderId="0" xfId="0" applyFont="1" applyBorder="1" applyAlignment="1">
      <alignment/>
    </xf>
    <xf numFmtId="0" fontId="0" fillId="0" borderId="0" xfId="0" applyFont="1" applyAlignment="1">
      <alignment/>
    </xf>
    <xf numFmtId="0" fontId="32" fillId="0" borderId="0" xfId="0" applyFont="1" applyAlignment="1">
      <alignment/>
    </xf>
    <xf numFmtId="0" fontId="8" fillId="0" borderId="0" xfId="0" applyFont="1" applyFill="1" applyAlignment="1">
      <alignment/>
    </xf>
    <xf numFmtId="0" fontId="35" fillId="0" borderId="0" xfId="0" applyFont="1" applyAlignment="1">
      <alignment/>
    </xf>
    <xf numFmtId="0" fontId="35" fillId="0" borderId="0" xfId="0" applyFont="1" applyBorder="1" applyAlignment="1">
      <alignment/>
    </xf>
    <xf numFmtId="185" fontId="9" fillId="2" borderId="0" xfId="0" applyNumberFormat="1" applyFont="1" applyFill="1" applyAlignment="1">
      <alignment horizontal="left"/>
    </xf>
    <xf numFmtId="189" fontId="6" fillId="0" borderId="0" xfId="0" applyNumberFormat="1" applyFont="1" applyBorder="1" applyAlignment="1">
      <alignment/>
    </xf>
    <xf numFmtId="189" fontId="6" fillId="0" borderId="1" xfId="0" applyNumberFormat="1" applyFont="1" applyBorder="1" applyAlignment="1">
      <alignment/>
    </xf>
    <xf numFmtId="0" fontId="39" fillId="0" borderId="0" xfId="0" applyFont="1" applyAlignment="1">
      <alignment horizontal="right"/>
    </xf>
    <xf numFmtId="0" fontId="8" fillId="2" borderId="0" xfId="0" applyFont="1" applyFill="1" applyAlignment="1">
      <alignment horizontal="right"/>
    </xf>
    <xf numFmtId="0" fontId="6" fillId="0" borderId="0" xfId="0" applyFont="1" applyFill="1" applyAlignment="1">
      <alignment/>
    </xf>
    <xf numFmtId="180" fontId="23" fillId="0" borderId="1" xfId="0" applyNumberFormat="1" applyFont="1" applyBorder="1" applyAlignment="1">
      <alignment/>
    </xf>
    <xf numFmtId="180" fontId="23" fillId="0" borderId="0" xfId="0" applyNumberFormat="1" applyFont="1" applyAlignment="1">
      <alignment/>
    </xf>
    <xf numFmtId="180" fontId="23" fillId="0" borderId="0" xfId="0" applyNumberFormat="1" applyFont="1" applyBorder="1" applyAlignment="1">
      <alignment/>
    </xf>
    <xf numFmtId="182" fontId="8" fillId="2" borderId="0" xfId="0" applyNumberFormat="1" applyFont="1" applyFill="1" applyAlignment="1">
      <alignment/>
    </xf>
    <xf numFmtId="0" fontId="42" fillId="0" borderId="3" xfId="0" applyFont="1" applyBorder="1" applyAlignment="1">
      <alignment/>
    </xf>
    <xf numFmtId="0" fontId="8" fillId="4" borderId="3" xfId="0" applyFont="1" applyFill="1" applyBorder="1" applyAlignment="1">
      <alignment/>
    </xf>
    <xf numFmtId="0" fontId="8" fillId="4" borderId="1" xfId="0" applyFont="1" applyFill="1" applyBorder="1" applyAlignment="1">
      <alignment/>
    </xf>
    <xf numFmtId="0" fontId="8" fillId="4" borderId="4" xfId="0" applyFont="1" applyFill="1" applyBorder="1" applyAlignment="1">
      <alignment/>
    </xf>
    <xf numFmtId="0" fontId="42" fillId="0" borderId="5" xfId="0" applyFont="1" applyBorder="1" applyAlignment="1">
      <alignment/>
    </xf>
    <xf numFmtId="0" fontId="8" fillId="4" borderId="5" xfId="0" applyFont="1" applyFill="1" applyBorder="1" applyAlignment="1">
      <alignment/>
    </xf>
    <xf numFmtId="0" fontId="8" fillId="4" borderId="0" xfId="0" applyFont="1" applyFill="1" applyBorder="1" applyAlignment="1">
      <alignment/>
    </xf>
    <xf numFmtId="0" fontId="8" fillId="4" borderId="6" xfId="0" applyFont="1" applyFill="1" applyBorder="1" applyAlignment="1">
      <alignment/>
    </xf>
    <xf numFmtId="2" fontId="8" fillId="4" borderId="5" xfId="0" applyNumberFormat="1" applyFont="1" applyFill="1" applyBorder="1" applyAlignment="1">
      <alignment/>
    </xf>
    <xf numFmtId="2" fontId="8" fillId="4" borderId="0" xfId="0" applyNumberFormat="1" applyFont="1" applyFill="1" applyBorder="1" applyAlignment="1">
      <alignment/>
    </xf>
    <xf numFmtId="2" fontId="8" fillId="4" borderId="6" xfId="0" applyNumberFormat="1" applyFont="1" applyFill="1" applyBorder="1" applyAlignment="1">
      <alignment/>
    </xf>
    <xf numFmtId="2" fontId="9" fillId="2" borderId="5" xfId="0" applyNumberFormat="1" applyFont="1" applyFill="1" applyBorder="1" applyAlignment="1">
      <alignment/>
    </xf>
    <xf numFmtId="2" fontId="9" fillId="2" borderId="0" xfId="0" applyNumberFormat="1" applyFont="1" applyFill="1" applyBorder="1" applyAlignment="1">
      <alignment/>
    </xf>
    <xf numFmtId="2" fontId="9" fillId="2" borderId="6" xfId="0" applyNumberFormat="1" applyFont="1" applyFill="1" applyBorder="1" applyAlignment="1">
      <alignment/>
    </xf>
    <xf numFmtId="0" fontId="42" fillId="0" borderId="7" xfId="0" applyFont="1" applyBorder="1" applyAlignment="1">
      <alignment/>
    </xf>
    <xf numFmtId="2" fontId="9" fillId="2" borderId="7" xfId="0" applyNumberFormat="1" applyFont="1" applyFill="1" applyBorder="1" applyAlignment="1">
      <alignment/>
    </xf>
    <xf numFmtId="2" fontId="9" fillId="2" borderId="8" xfId="0" applyNumberFormat="1" applyFont="1" applyFill="1" applyBorder="1" applyAlignment="1">
      <alignment/>
    </xf>
    <xf numFmtId="0" fontId="0" fillId="0" borderId="0" xfId="0" applyFont="1" applyAlignment="1">
      <alignment/>
    </xf>
    <xf numFmtId="0" fontId="36" fillId="0" borderId="0" xfId="0" applyNumberFormat="1" applyFont="1" applyFill="1" applyAlignment="1">
      <alignment horizontal="center"/>
    </xf>
    <xf numFmtId="0" fontId="16" fillId="0" borderId="0" xfId="0" applyFont="1" applyFill="1" applyBorder="1" applyAlignment="1">
      <alignment/>
    </xf>
    <xf numFmtId="0" fontId="4" fillId="0" borderId="0" xfId="0" applyFont="1" applyFill="1" applyBorder="1" applyAlignment="1">
      <alignment/>
    </xf>
    <xf numFmtId="0" fontId="8" fillId="0" borderId="0" xfId="0" applyFont="1" applyFill="1" applyBorder="1" applyAlignment="1">
      <alignment/>
    </xf>
    <xf numFmtId="182" fontId="9" fillId="0" borderId="0" xfId="0" applyNumberFormat="1" applyFont="1" applyFill="1" applyBorder="1" applyAlignment="1">
      <alignment/>
    </xf>
    <xf numFmtId="180" fontId="9" fillId="0" borderId="0" xfId="0" applyNumberFormat="1" applyFont="1" applyFill="1" applyBorder="1" applyAlignment="1">
      <alignment/>
    </xf>
    <xf numFmtId="180" fontId="21" fillId="0" borderId="0" xfId="0" applyNumberFormat="1" applyFont="1" applyFill="1" applyBorder="1" applyAlignment="1">
      <alignment/>
    </xf>
    <xf numFmtId="0" fontId="0" fillId="0" borderId="0" xfId="0" applyFill="1" applyBorder="1" applyAlignment="1">
      <alignment/>
    </xf>
    <xf numFmtId="189" fontId="6" fillId="0" borderId="0" xfId="0" applyNumberFormat="1"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0" fillId="0" borderId="0" xfId="0" applyFill="1" applyAlignment="1">
      <alignment/>
    </xf>
    <xf numFmtId="189" fontId="6" fillId="0" borderId="0" xfId="0" applyNumberFormat="1" applyFont="1" applyFill="1" applyAlignment="1">
      <alignment/>
    </xf>
    <xf numFmtId="2" fontId="9" fillId="2" borderId="9" xfId="0" applyNumberFormat="1" applyFont="1" applyFill="1" applyBorder="1" applyAlignment="1">
      <alignment/>
    </xf>
    <xf numFmtId="0" fontId="0" fillId="0" borderId="8" xfId="0" applyBorder="1" applyAlignment="1">
      <alignment/>
    </xf>
    <xf numFmtId="0" fontId="4" fillId="0" borderId="0" xfId="0" applyFont="1" applyBorder="1" applyAlignment="1">
      <alignment horizontal="centerContinuous"/>
    </xf>
    <xf numFmtId="0" fontId="4" fillId="0" borderId="10" xfId="0" applyFont="1" applyBorder="1" applyAlignment="1">
      <alignment horizontal="centerContinuous"/>
    </xf>
    <xf numFmtId="0" fontId="4" fillId="0" borderId="0" xfId="0" applyFont="1" applyBorder="1" applyAlignment="1">
      <alignment horizontal="centerContinuous"/>
    </xf>
    <xf numFmtId="0" fontId="4" fillId="0" borderId="10" xfId="0" applyFont="1" applyBorder="1" applyAlignment="1">
      <alignment vertical="top"/>
    </xf>
    <xf numFmtId="0" fontId="32" fillId="0" borderId="8" xfId="0" applyFont="1" applyBorder="1" applyAlignment="1">
      <alignment/>
    </xf>
    <xf numFmtId="0" fontId="4" fillId="0" borderId="8" xfId="0" applyFont="1" applyBorder="1" applyAlignment="1">
      <alignment/>
    </xf>
    <xf numFmtId="0" fontId="6" fillId="0" borderId="8" xfId="0" applyFont="1" applyFill="1" applyBorder="1" applyAlignment="1">
      <alignment/>
    </xf>
    <xf numFmtId="182" fontId="9" fillId="2" borderId="8" xfId="0" applyNumberFormat="1" applyFont="1" applyFill="1" applyBorder="1" applyAlignment="1">
      <alignment/>
    </xf>
    <xf numFmtId="180" fontId="9" fillId="3" borderId="8" xfId="0" applyNumberFormat="1" applyFont="1" applyFill="1" applyBorder="1" applyAlignment="1">
      <alignment/>
    </xf>
    <xf numFmtId="180" fontId="21" fillId="2" borderId="8" xfId="0" applyNumberFormat="1" applyFont="1" applyFill="1" applyBorder="1" applyAlignment="1">
      <alignment/>
    </xf>
    <xf numFmtId="180" fontId="18" fillId="0" borderId="8" xfId="0" applyNumberFormat="1" applyFont="1" applyBorder="1" applyAlignment="1">
      <alignment/>
    </xf>
    <xf numFmtId="189" fontId="6" fillId="0" borderId="8" xfId="0" applyNumberFormat="1" applyFont="1" applyBorder="1" applyAlignment="1">
      <alignment/>
    </xf>
    <xf numFmtId="0" fontId="4" fillId="0" borderId="11" xfId="0" applyFont="1" applyBorder="1" applyAlignment="1">
      <alignment/>
    </xf>
    <xf numFmtId="0" fontId="4" fillId="0" borderId="12" xfId="0" applyFont="1" applyBorder="1" applyAlignment="1">
      <alignment horizontal="centerContinuous"/>
    </xf>
    <xf numFmtId="0" fontId="4" fillId="0" borderId="12" xfId="0" applyFont="1" applyBorder="1" applyAlignment="1">
      <alignment horizontal="centerContinuous" wrapText="1"/>
    </xf>
    <xf numFmtId="0" fontId="0" fillId="0" borderId="13" xfId="0" applyBorder="1" applyAlignment="1">
      <alignment horizontal="centerContinuous" wrapText="1"/>
    </xf>
    <xf numFmtId="0" fontId="49" fillId="0" borderId="0" xfId="0" applyFont="1" applyAlignment="1">
      <alignment horizontal="right"/>
    </xf>
    <xf numFmtId="0" fontId="51" fillId="0" borderId="0" xfId="0" applyFont="1" applyAlignment="1">
      <alignment horizontal="right"/>
    </xf>
    <xf numFmtId="0" fontId="53" fillId="0" borderId="0" xfId="0" applyFont="1" applyFill="1" applyAlignment="1">
      <alignment vertical="top"/>
    </xf>
    <xf numFmtId="0" fontId="4" fillId="0" borderId="13" xfId="0" applyFont="1" applyBorder="1" applyAlignment="1">
      <alignment horizontal="centerContinuous" wrapText="1"/>
    </xf>
    <xf numFmtId="0" fontId="4" fillId="0" borderId="0" xfId="0" applyFont="1" applyBorder="1" applyAlignment="1">
      <alignment/>
    </xf>
    <xf numFmtId="0" fontId="8" fillId="2" borderId="0" xfId="0" applyFont="1" applyFill="1" applyAlignment="1">
      <alignment/>
    </xf>
    <xf numFmtId="0" fontId="4" fillId="0" borderId="11" xfId="0" applyFont="1" applyBorder="1" applyAlignment="1">
      <alignment wrapText="1"/>
    </xf>
    <xf numFmtId="0" fontId="3" fillId="0" borderId="0" xfId="0" applyFont="1" applyFill="1" applyAlignment="1">
      <alignment/>
    </xf>
    <xf numFmtId="2" fontId="4" fillId="0" borderId="0" xfId="0" applyNumberFormat="1" applyFont="1" applyAlignment="1">
      <alignment/>
    </xf>
    <xf numFmtId="2" fontId="6" fillId="0" borderId="0" xfId="0" applyNumberFormat="1" applyFont="1" applyAlignment="1">
      <alignment/>
    </xf>
    <xf numFmtId="0" fontId="4" fillId="0" borderId="14" xfId="0" applyFont="1" applyBorder="1" applyAlignment="1">
      <alignment horizontal="centerContinuous" vertical="center"/>
    </xf>
    <xf numFmtId="0" fontId="4" fillId="0" borderId="2" xfId="0" applyFont="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8" fillId="0" borderId="16" xfId="0" applyFont="1" applyBorder="1" applyAlignment="1">
      <alignment horizontal="center" vertical="center" wrapText="1"/>
    </xf>
    <xf numFmtId="0" fontId="4" fillId="0" borderId="2" xfId="0" applyFont="1" applyBorder="1" applyAlignment="1">
      <alignment horizontal="centerContinuous" vertical="center"/>
    </xf>
    <xf numFmtId="0" fontId="4" fillId="0" borderId="16" xfId="0" applyFont="1" applyBorder="1" applyAlignment="1">
      <alignment horizontal="center" vertical="center" wrapText="1"/>
    </xf>
    <xf numFmtId="0" fontId="18" fillId="0" borderId="15" xfId="0" applyFont="1" applyBorder="1" applyAlignment="1">
      <alignment horizontal="right" vertical="center" wrapText="1"/>
    </xf>
    <xf numFmtId="0" fontId="18" fillId="0" borderId="11" xfId="0" applyFont="1" applyBorder="1" applyAlignment="1">
      <alignment horizontal="centerContinuous" vertical="center" wrapText="1"/>
    </xf>
    <xf numFmtId="0" fontId="4" fillId="0" borderId="11" xfId="0" applyFont="1" applyBorder="1" applyAlignment="1">
      <alignment vertical="center" wrapText="1"/>
    </xf>
    <xf numFmtId="0" fontId="4" fillId="0" borderId="11" xfId="0" applyFont="1" applyBorder="1" applyAlignment="1">
      <alignment horizontal="centerContinuous" vertical="center"/>
    </xf>
    <xf numFmtId="0" fontId="4" fillId="0" borderId="16" xfId="0" applyFont="1" applyBorder="1" applyAlignment="1">
      <alignment horizontal="centerContinuous"/>
    </xf>
    <xf numFmtId="0" fontId="4" fillId="0" borderId="11" xfId="0" applyFont="1" applyBorder="1" applyAlignment="1">
      <alignment horizontal="left" vertical="center" indent="3"/>
    </xf>
    <xf numFmtId="0" fontId="15" fillId="0" borderId="0" xfId="0" applyFont="1" applyBorder="1" applyAlignment="1">
      <alignment/>
    </xf>
    <xf numFmtId="0" fontId="45" fillId="0" borderId="0" xfId="0" applyFont="1" applyBorder="1" applyAlignment="1">
      <alignment/>
    </xf>
    <xf numFmtId="0" fontId="0" fillId="0" borderId="0" xfId="0" applyFont="1" applyBorder="1" applyAlignment="1">
      <alignment/>
    </xf>
    <xf numFmtId="182" fontId="8" fillId="0" borderId="0" xfId="0" applyNumberFormat="1" applyFont="1" applyFill="1" applyAlignment="1">
      <alignment/>
    </xf>
    <xf numFmtId="0" fontId="8" fillId="0" borderId="0" xfId="0" applyFont="1" applyFill="1" applyAlignment="1">
      <alignment/>
    </xf>
    <xf numFmtId="0" fontId="4" fillId="0" borderId="13" xfId="0" applyFont="1" applyBorder="1" applyAlignment="1">
      <alignment horizontal="centerContinuous"/>
    </xf>
    <xf numFmtId="0" fontId="4" fillId="0" borderId="0" xfId="0" applyFont="1" applyBorder="1" applyAlignment="1">
      <alignment/>
    </xf>
    <xf numFmtId="0" fontId="4" fillId="0" borderId="0" xfId="0" applyFont="1" applyBorder="1" applyAlignment="1">
      <alignment horizontal="centerContinuous" vertical="center"/>
    </xf>
    <xf numFmtId="0" fontId="4" fillId="0" borderId="17" xfId="0" applyFont="1" applyBorder="1" applyAlignment="1">
      <alignment horizontal="centerContinuous"/>
    </xf>
    <xf numFmtId="0" fontId="18" fillId="0" borderId="16" xfId="0" applyFont="1" applyBorder="1" applyAlignment="1">
      <alignment horizontal="centerContinuous" vertical="center" wrapText="1"/>
    </xf>
    <xf numFmtId="0" fontId="4" fillId="0" borderId="2" xfId="0" applyFont="1" applyBorder="1" applyAlignment="1">
      <alignment horizontal="center" vertical="center"/>
    </xf>
    <xf numFmtId="0" fontId="4" fillId="0" borderId="2" xfId="0" applyFont="1" applyBorder="1" applyAlignment="1">
      <alignment horizontal="left"/>
    </xf>
    <xf numFmtId="0" fontId="4" fillId="0" borderId="18" xfId="0" applyFont="1" applyBorder="1" applyAlignment="1">
      <alignment/>
    </xf>
    <xf numFmtId="180" fontId="9" fillId="2" borderId="1" xfId="0" applyNumberFormat="1" applyFont="1" applyFill="1" applyBorder="1" applyAlignment="1">
      <alignment/>
    </xf>
    <xf numFmtId="180" fontId="17" fillId="0" borderId="0" xfId="0" applyNumberFormat="1" applyFont="1" applyFill="1" applyAlignment="1">
      <alignment/>
    </xf>
    <xf numFmtId="180" fontId="9" fillId="2" borderId="0" xfId="0" applyNumberFormat="1" applyFont="1" applyFill="1" applyAlignment="1">
      <alignment/>
    </xf>
    <xf numFmtId="180" fontId="6" fillId="0" borderId="0" xfId="0" applyNumberFormat="1" applyFont="1" applyFill="1" applyBorder="1" applyAlignment="1">
      <alignment/>
    </xf>
    <xf numFmtId="180" fontId="6" fillId="0" borderId="0" xfId="0" applyNumberFormat="1" applyFont="1" applyFill="1" applyAlignment="1">
      <alignment/>
    </xf>
    <xf numFmtId="0" fontId="17" fillId="0" borderId="0" xfId="0" applyFont="1" applyFill="1" applyAlignment="1">
      <alignment/>
    </xf>
    <xf numFmtId="180" fontId="9" fillId="0" borderId="0" xfId="0" applyNumberFormat="1" applyFont="1" applyFill="1" applyAlignment="1">
      <alignment/>
    </xf>
    <xf numFmtId="180" fontId="9" fillId="2" borderId="8" xfId="0" applyNumberFormat="1" applyFont="1" applyFill="1" applyBorder="1" applyAlignment="1">
      <alignment/>
    </xf>
    <xf numFmtId="0" fontId="61" fillId="0" borderId="0" xfId="0" applyFont="1" applyFill="1" applyAlignment="1">
      <alignment vertical="top"/>
    </xf>
    <xf numFmtId="0" fontId="61" fillId="0" borderId="0" xfId="0" applyFont="1" applyAlignment="1">
      <alignment vertical="top"/>
    </xf>
    <xf numFmtId="0" fontId="61" fillId="0" borderId="0" xfId="0" applyFont="1" applyAlignment="1">
      <alignment/>
    </xf>
    <xf numFmtId="0" fontId="61" fillId="5" borderId="19" xfId="0" applyFont="1" applyFill="1" applyBorder="1" applyAlignment="1">
      <alignment horizontal="left"/>
    </xf>
    <xf numFmtId="0" fontId="0" fillId="5" borderId="20" xfId="0" applyFill="1" applyBorder="1" applyAlignment="1">
      <alignment/>
    </xf>
    <xf numFmtId="0" fontId="4" fillId="5" borderId="20" xfId="0" applyFont="1" applyFill="1" applyBorder="1" applyAlignment="1">
      <alignment/>
    </xf>
    <xf numFmtId="0" fontId="0" fillId="5" borderId="21" xfId="0" applyFill="1" applyBorder="1" applyAlignment="1">
      <alignment/>
    </xf>
    <xf numFmtId="0" fontId="0" fillId="5" borderId="22" xfId="0" applyFill="1" applyBorder="1" applyAlignment="1">
      <alignment/>
    </xf>
    <xf numFmtId="0" fontId="4" fillId="5" borderId="23" xfId="0" applyFont="1" applyFill="1" applyBorder="1" applyAlignment="1">
      <alignment horizontal="right"/>
    </xf>
    <xf numFmtId="0" fontId="8" fillId="2" borderId="23" xfId="0" applyFont="1" applyFill="1" applyBorder="1" applyAlignment="1">
      <alignment/>
    </xf>
    <xf numFmtId="0" fontId="20" fillId="2" borderId="23" xfId="0" applyFont="1" applyFill="1" applyBorder="1" applyAlignment="1">
      <alignment/>
    </xf>
    <xf numFmtId="185" fontId="9" fillId="2" borderId="23" xfId="0" applyNumberFormat="1" applyFont="1" applyFill="1" applyBorder="1" applyAlignment="1">
      <alignment/>
    </xf>
    <xf numFmtId="185" fontId="17" fillId="4" borderId="23" xfId="0" applyNumberFormat="1" applyFont="1" applyFill="1" applyBorder="1" applyAlignment="1">
      <alignment/>
    </xf>
    <xf numFmtId="0" fontId="4" fillId="6" borderId="24" xfId="0" applyFont="1" applyFill="1" applyBorder="1" applyAlignment="1">
      <alignment/>
    </xf>
    <xf numFmtId="0" fontId="1" fillId="0" borderId="0" xfId="0" applyFont="1" applyAlignment="1">
      <alignment/>
    </xf>
    <xf numFmtId="0" fontId="4" fillId="7" borderId="18" xfId="0" applyFont="1" applyFill="1" applyBorder="1" applyAlignment="1">
      <alignment horizontal="center" vertical="center"/>
    </xf>
    <xf numFmtId="0" fontId="62" fillId="8" borderId="25" xfId="0" applyFont="1" applyFill="1" applyBorder="1" applyAlignment="1">
      <alignment textRotation="90"/>
    </xf>
    <xf numFmtId="0" fontId="39" fillId="0" borderId="26"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5"/>
          <c:y val="0.06625"/>
          <c:w val="0.87575"/>
          <c:h val="0.82375"/>
        </c:manualLayout>
      </c:layout>
      <c:scatterChart>
        <c:scatterStyle val="smooth"/>
        <c:varyColors val="0"/>
        <c:ser>
          <c:idx val="0"/>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'More advanced'!$U$4:$U$103</c:f>
              <c:numCache/>
            </c:numRef>
          </c:xVal>
          <c:yVal>
            <c:numRef>
              <c:f>'More advanced'!$V$4:$V$103</c:f>
              <c:numCache/>
            </c:numRef>
          </c:yVal>
          <c:smooth val="1"/>
        </c:ser>
        <c:axId val="56556549"/>
        <c:axId val="39246894"/>
      </c:scatterChart>
      <c:valAx>
        <c:axId val="56556549"/>
        <c:scaling>
          <c:orientation val="minMax"/>
          <c:max val="1"/>
        </c:scaling>
        <c:axPos val="b"/>
        <c:title>
          <c:tx>
            <c:rich>
              <a:bodyPr vert="horz" rot="0" anchor="ctr"/>
              <a:lstStyle/>
              <a:p>
                <a:pPr algn="ctr">
                  <a:defRPr/>
                </a:pPr>
                <a:r>
                  <a:rPr lang="en-US" cap="none" sz="1025" b="1" i="0" u="none" baseline="0">
                    <a:latin typeface="Arial"/>
                    <a:ea typeface="Arial"/>
                    <a:cs typeface="Arial"/>
                  </a:rPr>
                  <a:t>Proportion of clones (ranked)</a:t>
                </a:r>
              </a:p>
            </c:rich>
          </c:tx>
          <c:layout/>
          <c:overlay val="0"/>
          <c:spPr>
            <a:noFill/>
            <a:ln>
              <a:noFill/>
            </a:ln>
          </c:spPr>
        </c:title>
        <c:delete val="0"/>
        <c:numFmt formatCode="General" sourceLinked="0"/>
        <c:majorTickMark val="out"/>
        <c:minorTickMark val="none"/>
        <c:tickLblPos val="nextTo"/>
        <c:txPr>
          <a:bodyPr/>
          <a:lstStyle/>
          <a:p>
            <a:pPr>
              <a:defRPr lang="en-US" cap="none" sz="925" b="0" i="0" u="none" baseline="0">
                <a:latin typeface="Arial"/>
                <a:ea typeface="Arial"/>
                <a:cs typeface="Arial"/>
              </a:defRPr>
            </a:pPr>
          </a:p>
        </c:txPr>
        <c:crossAx val="39246894"/>
        <c:crosses val="autoZero"/>
        <c:crossBetween val="midCat"/>
        <c:dispUnits/>
        <c:majorUnit val="0.25"/>
        <c:minorUnit val="0.25"/>
      </c:valAx>
      <c:valAx>
        <c:axId val="39246894"/>
        <c:scaling>
          <c:orientation val="minMax"/>
          <c:max val="1"/>
          <c:min val="0"/>
        </c:scaling>
        <c:axPos val="l"/>
        <c:title>
          <c:tx>
            <c:rich>
              <a:bodyPr vert="horz" rot="-5400000" anchor="ctr"/>
              <a:lstStyle/>
              <a:p>
                <a:pPr algn="ctr">
                  <a:defRPr/>
                </a:pPr>
                <a:r>
                  <a:rPr lang="en-US" cap="none" sz="1025" b="1" i="0" u="none" baseline="0">
                    <a:latin typeface="Arial"/>
                    <a:ea typeface="Arial"/>
                    <a:cs typeface="Arial"/>
                  </a:rPr>
                  <a:t>Cumulative contribution</a:t>
                </a:r>
              </a:p>
            </c:rich>
          </c:tx>
          <c:layout/>
          <c:overlay val="0"/>
          <c:spPr>
            <a:noFill/>
            <a:ln>
              <a:noFill/>
            </a:ln>
          </c:spPr>
        </c:title>
        <c:delete val="0"/>
        <c:numFmt formatCode="0.00" sourceLinked="0"/>
        <c:majorTickMark val="out"/>
        <c:minorTickMark val="none"/>
        <c:tickLblPos val="nextTo"/>
        <c:txPr>
          <a:bodyPr/>
          <a:lstStyle/>
          <a:p>
            <a:pPr>
              <a:defRPr lang="en-US" cap="none" sz="925" b="0" i="0" u="none" baseline="0">
                <a:latin typeface="Arial"/>
                <a:ea typeface="Arial"/>
                <a:cs typeface="Arial"/>
              </a:defRPr>
            </a:pPr>
          </a:p>
        </c:txPr>
        <c:crossAx val="56556549"/>
        <c:crosses val="autoZero"/>
        <c:crossBetween val="midCat"/>
        <c:dispUnits/>
        <c:majorUnit val="0.25"/>
        <c:minorUnit val="0.25"/>
      </c:valAx>
      <c:spPr>
        <a:solidFill>
          <a:srgbClr val="FFFF99"/>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0.emf" /><Relationship Id="rId3" Type="http://schemas.openxmlformats.org/officeDocument/2006/relationships/image" Target="../media/image22.emf" /><Relationship Id="rId4" Type="http://schemas.openxmlformats.org/officeDocument/2006/relationships/image" Target="../media/image12.emf" /><Relationship Id="rId5" Type="http://schemas.openxmlformats.org/officeDocument/2006/relationships/image" Target="../media/image18.emf" /><Relationship Id="rId6" Type="http://schemas.openxmlformats.org/officeDocument/2006/relationships/image" Target="../media/image21.emf" /><Relationship Id="rId7" Type="http://schemas.openxmlformats.org/officeDocument/2006/relationships/image" Target="../media/image6.emf" /><Relationship Id="rId8" Type="http://schemas.openxmlformats.org/officeDocument/2006/relationships/image" Target="../media/image19.emf" /><Relationship Id="rId9" Type="http://schemas.openxmlformats.org/officeDocument/2006/relationships/image" Target="../media/image20.emf" /><Relationship Id="rId10" Type="http://schemas.openxmlformats.org/officeDocument/2006/relationships/image" Target="../media/image2.emf" /><Relationship Id="rId11" Type="http://schemas.openxmlformats.org/officeDocument/2006/relationships/image" Target="../media/image3.emf" /><Relationship Id="rId12" Type="http://schemas.openxmlformats.org/officeDocument/2006/relationships/image" Target="../media/image4.emf" /><Relationship Id="rId13" Type="http://schemas.openxmlformats.org/officeDocument/2006/relationships/image" Target="../media/image13.emf" /><Relationship Id="rId14" Type="http://schemas.openxmlformats.org/officeDocument/2006/relationships/image" Target="../media/image1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7.emf" /><Relationship Id="rId3" Type="http://schemas.openxmlformats.org/officeDocument/2006/relationships/image" Target="../media/image15.emf" /><Relationship Id="rId4" Type="http://schemas.openxmlformats.org/officeDocument/2006/relationships/image" Target="../media/image5.emf" /><Relationship Id="rId5" Type="http://schemas.openxmlformats.org/officeDocument/2006/relationships/image" Target="../media/image1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emf" /><Relationship Id="rId3"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18</xdr:row>
      <xdr:rowOff>28575</xdr:rowOff>
    </xdr:from>
    <xdr:to>
      <xdr:col>20</xdr:col>
      <xdr:colOff>352425</xdr:colOff>
      <xdr:row>36</xdr:row>
      <xdr:rowOff>76200</xdr:rowOff>
    </xdr:to>
    <xdr:graphicFrame>
      <xdr:nvGraphicFramePr>
        <xdr:cNvPr id="1" name="Chart 5"/>
        <xdr:cNvGraphicFramePr/>
      </xdr:nvGraphicFramePr>
      <xdr:xfrm>
        <a:off x="7791450" y="3524250"/>
        <a:ext cx="3819525" cy="2962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12</xdr:row>
      <xdr:rowOff>9525</xdr:rowOff>
    </xdr:from>
    <xdr:to>
      <xdr:col>9</xdr:col>
      <xdr:colOff>9525</xdr:colOff>
      <xdr:row>24</xdr:row>
      <xdr:rowOff>104775</xdr:rowOff>
    </xdr:to>
    <xdr:sp>
      <xdr:nvSpPr>
        <xdr:cNvPr id="1" name="Text 15"/>
        <xdr:cNvSpPr txBox="1">
          <a:spLocks noChangeArrowheads="1"/>
        </xdr:cNvSpPr>
      </xdr:nvSpPr>
      <xdr:spPr>
        <a:xfrm>
          <a:off x="66675" y="1990725"/>
          <a:ext cx="5572125" cy="203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Introduction</a:t>
          </a:r>
          <a:r>
            <a:rPr lang="en-US" cap="none" sz="1000" b="0" i="0" u="none" baseline="0">
              <a:latin typeface="Arial"/>
              <a:ea typeface="Arial"/>
              <a:cs typeface="Arial"/>
            </a:rPr>
            <a:t>
This workbook is a way to compare different management tactics. It can be used for identifying the most promising alternatives. You can insert your own values on number of clones of different types, their genetic variation and the quantitative and qualitative characteristics of the contaminating pollen. It can be seen as a deterministic breeding simulator. Like a flight simulator responds to rudder input, the genetic responses of this simulator changes with the seed orchard management tactics.  The simulator considers values on the fractions of clones thinned, the fraction of clones harvested, the fraction of clones which serves both as a seed and a pollen source. The simulator considers the fertility variation of orchard clones estimated by </a:t>
          </a:r>
          <a:r>
            <a:rPr lang="en-US" cap="none" sz="1000" b="0" i="1" u="none" baseline="0">
              <a:latin typeface="Arial"/>
              <a:ea typeface="Arial"/>
              <a:cs typeface="Arial"/>
            </a:rPr>
            <a:t>CV</a:t>
          </a:r>
          <a:r>
            <a:rPr lang="en-US" cap="none" sz="1000" b="0" i="0" u="none" baseline="0">
              <a:latin typeface="Arial"/>
              <a:ea typeface="Arial"/>
              <a:cs typeface="Arial"/>
            </a:rPr>
            <a:t> (%) in reproductive input or output (Sibling coefficient, </a:t>
          </a:r>
          <a:r>
            <a:rPr lang="en-US" cap="none" sz="1000" b="0" i="1" u="none" baseline="0">
              <a:latin typeface="Arial"/>
              <a:ea typeface="Arial"/>
              <a:cs typeface="Arial"/>
            </a:rPr>
            <a:t>A</a:t>
          </a:r>
          <a:r>
            <a:rPr lang="en-US" cap="none" sz="1000" b="0" i="0" u="none" baseline="0">
              <a:latin typeface="Arial"/>
              <a:ea typeface="Arial"/>
              <a:cs typeface="Arial"/>
            </a:rPr>
            <a:t> could equivalently have been used).</a:t>
          </a:r>
          <a:r>
            <a:rPr lang="en-US" cap="none" sz="1000" b="0" i="1" u="none" baseline="0">
              <a:latin typeface="Arial"/>
              <a:ea typeface="Arial"/>
              <a:cs typeface="Arial"/>
            </a:rPr>
            <a:t> </a:t>
          </a:r>
          <a:r>
            <a:rPr lang="en-US" cap="none" sz="1000" b="0" i="0" u="none" baseline="0">
              <a:latin typeface="Arial"/>
              <a:ea typeface="Arial"/>
              <a:cs typeface="Arial"/>
            </a:rPr>
            <a:t>The simulator considers the value of pollen contamination rate (%) and quality. Options like genetic thinning, selective harvest, establishment of young grafts (seed parents) among old (pollen parents) can be studied.</a:t>
          </a:r>
        </a:p>
      </xdr:txBody>
    </xdr:sp>
    <xdr:clientData/>
  </xdr:twoCellAnchor>
  <xdr:twoCellAnchor>
    <xdr:from>
      <xdr:col>0</xdr:col>
      <xdr:colOff>66675</xdr:colOff>
      <xdr:row>5</xdr:row>
      <xdr:rowOff>85725</xdr:rowOff>
    </xdr:from>
    <xdr:to>
      <xdr:col>9</xdr:col>
      <xdr:colOff>9525</xdr:colOff>
      <xdr:row>11</xdr:row>
      <xdr:rowOff>123825</xdr:rowOff>
    </xdr:to>
    <xdr:sp>
      <xdr:nvSpPr>
        <xdr:cNvPr id="2" name="Text 16"/>
        <xdr:cNvSpPr txBox="1">
          <a:spLocks noChangeArrowheads="1"/>
        </xdr:cNvSpPr>
      </xdr:nvSpPr>
      <xdr:spPr>
        <a:xfrm>
          <a:off x="66675" y="933450"/>
          <a:ext cx="5572125" cy="1009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FF"/>
              </a:solidFill>
              <a:latin typeface="Arial"/>
              <a:ea typeface="Arial"/>
              <a:cs typeface="Arial"/>
            </a:rPr>
            <a:t>Welcome to ORCHARD MANAGEMENT.xls
</a:t>
          </a:r>
          <a:r>
            <a:rPr lang="en-US" cap="none" sz="1000" b="0" i="0" u="none" baseline="0">
              <a:latin typeface="Arial"/>
              <a:ea typeface="Arial"/>
              <a:cs typeface="Arial"/>
            </a:rPr>
            <a:t>Relatedness (status number or group coancestry) and gain of seed orchard crops are predicted. Variance effective numbers are also predicted. Contamination, relatedness, inbreeding, fecundity (fertility, reproductive success), and number of clones functioning as seed parents and pollen parents are considered.</a:t>
          </a:r>
        </a:p>
      </xdr:txBody>
    </xdr:sp>
    <xdr:clientData/>
  </xdr:twoCellAnchor>
  <xdr:twoCellAnchor>
    <xdr:from>
      <xdr:col>0</xdr:col>
      <xdr:colOff>66675</xdr:colOff>
      <xdr:row>25</xdr:row>
      <xdr:rowOff>19050</xdr:rowOff>
    </xdr:from>
    <xdr:to>
      <xdr:col>9</xdr:col>
      <xdr:colOff>9525</xdr:colOff>
      <xdr:row>36</xdr:row>
      <xdr:rowOff>66675</xdr:rowOff>
    </xdr:to>
    <xdr:sp>
      <xdr:nvSpPr>
        <xdr:cNvPr id="3" name="Text 17"/>
        <xdr:cNvSpPr txBox="1">
          <a:spLocks noChangeArrowheads="1"/>
        </xdr:cNvSpPr>
      </xdr:nvSpPr>
      <xdr:spPr>
        <a:xfrm>
          <a:off x="66675" y="4105275"/>
          <a:ext cx="5572125" cy="1866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Gain prediction</a:t>
          </a:r>
          <a:r>
            <a:rPr lang="en-US" cap="none" sz="1000" b="0" i="0" u="none" baseline="0">
              <a:latin typeface="Arial"/>
              <a:ea typeface="Arial"/>
              <a:cs typeface="Arial"/>
            </a:rPr>
            <a:t>
</a:t>
          </a:r>
          <a:r>
            <a:rPr lang="en-US" cap="none" sz="1000" b="0" i="0" u="none" baseline="0">
              <a:latin typeface="Arial"/>
              <a:ea typeface="Arial"/>
              <a:cs typeface="Arial"/>
            </a:rPr>
            <a:t>Prediction of genetic gain and diversity is for a seed orchard that consists of grafted clones, which are unrelated and non-inbred. It is considered only as selection of the first generation and the selection is considered as a truncation selection. 
</a:t>
          </a:r>
          <a:r>
            <a:rPr lang="en-US" cap="none" sz="1000" b="0" i="0" u="none" baseline="0">
              <a:latin typeface="Arial"/>
              <a:ea typeface="Arial"/>
              <a:cs typeface="Arial"/>
            </a:rPr>
            <a:t>The breeding values of orchard clones are assumed as known. The breeding value of the inititial selection of plus-trees is considered as 0. 
The contaminating pollen has a breeding value which usually is less than zero. Its value is inserted with the standard deviation of breeding values as unit.
</a:t>
          </a:r>
          <a:r>
            <a:rPr lang="en-US" cap="none" sz="1000" b="0" i="0" u="none" baseline="0">
              <a:latin typeface="Arial"/>
              <a:ea typeface="Arial"/>
              <a:cs typeface="Arial"/>
            </a:rPr>
            <a:t>The standard deviation of breeding values of clones is inserted as 1, and at the moment we r</a:t>
          </a:r>
          <a:r>
            <a:rPr lang="en-US" cap="none" sz="1000" b="0" i="0" u="none" baseline="0">
              <a:latin typeface="Arial"/>
              <a:ea typeface="Arial"/>
              <a:cs typeface="Arial"/>
            </a:rPr>
            <a:t>ecommend to let it stay in that way. Values in </a:t>
          </a:r>
          <a:r>
            <a:rPr lang="en-US" cap="none" sz="1000" b="0" i="1" u="none" baseline="0">
              <a:latin typeface="Arial"/>
              <a:ea typeface="Arial"/>
              <a:cs typeface="Arial"/>
            </a:rPr>
            <a:t>italics</a:t>
          </a:r>
          <a:r>
            <a:rPr lang="en-US" cap="none" sz="1000" b="0" i="0" u="none" baseline="0">
              <a:latin typeface="Arial"/>
              <a:ea typeface="Arial"/>
              <a:cs typeface="Arial"/>
            </a:rPr>
            <a:t> are relevant only for gain prediction and not for status number.</a:t>
          </a:r>
        </a:p>
      </xdr:txBody>
    </xdr:sp>
    <xdr:clientData/>
  </xdr:twoCellAnchor>
  <xdr:twoCellAnchor>
    <xdr:from>
      <xdr:col>0</xdr:col>
      <xdr:colOff>57150</xdr:colOff>
      <xdr:row>37</xdr:row>
      <xdr:rowOff>0</xdr:rowOff>
    </xdr:from>
    <xdr:to>
      <xdr:col>9</xdr:col>
      <xdr:colOff>9525</xdr:colOff>
      <xdr:row>45</xdr:row>
      <xdr:rowOff>123825</xdr:rowOff>
    </xdr:to>
    <xdr:sp>
      <xdr:nvSpPr>
        <xdr:cNvPr id="4" name="Text 19"/>
        <xdr:cNvSpPr txBox="1">
          <a:spLocks noChangeArrowheads="1"/>
        </xdr:cNvSpPr>
      </xdr:nvSpPr>
      <xdr:spPr>
        <a:xfrm>
          <a:off x="57150" y="6067425"/>
          <a:ext cx="5581650"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Status number and relatedness</a:t>
          </a:r>
          <a:r>
            <a:rPr lang="en-US" cap="none" sz="1000" b="0" i="0" u="none" baseline="0">
              <a:latin typeface="Arial"/>
              <a:ea typeface="Arial"/>
              <a:cs typeface="Arial"/>
            </a:rPr>
            <a:t>
Few clones in an orchard will make the seeds related. These effects are quantified as group coancestry (average coancestry=average kinship=genomsnittligt släktskap) or status effective number </a:t>
          </a:r>
          <a:r>
            <a:rPr lang="en-US" cap="none" sz="1000" b="0" i="0" u="none" baseline="0">
              <a:latin typeface="Arial"/>
              <a:ea typeface="Arial"/>
              <a:cs typeface="Arial"/>
            </a:rPr>
            <a:t>(Lindgren and Mullin  1998), and variance effective population size (Kang and Lindgren, 1998) considering the change of gene contributions between the orchard clones and the seed crop.</a:t>
          </a:r>
          <a:r>
            <a:rPr lang="en-US" cap="none" sz="1000" b="0" i="0" u="none" baseline="0">
              <a:latin typeface="Arial"/>
              <a:ea typeface="Arial"/>
              <a:cs typeface="Arial"/>
            </a:rPr>
            <a:t> It is assumed that the parent population consisted of unrelated trees does not affected by inbreeding. In alternatives with parental selection based on the performance of the progeny or cloned replications, status number and selected number are equal.</a:t>
          </a:r>
        </a:p>
      </xdr:txBody>
    </xdr:sp>
    <xdr:clientData/>
  </xdr:twoCellAnchor>
  <xdr:twoCellAnchor>
    <xdr:from>
      <xdr:col>9</xdr:col>
      <xdr:colOff>85725</xdr:colOff>
      <xdr:row>46</xdr:row>
      <xdr:rowOff>133350</xdr:rowOff>
    </xdr:from>
    <xdr:to>
      <xdr:col>18</xdr:col>
      <xdr:colOff>9525</xdr:colOff>
      <xdr:row>52</xdr:row>
      <xdr:rowOff>76200</xdr:rowOff>
    </xdr:to>
    <xdr:sp>
      <xdr:nvSpPr>
        <xdr:cNvPr id="5" name="Text 23"/>
        <xdr:cNvSpPr txBox="1">
          <a:spLocks noChangeArrowheads="1"/>
        </xdr:cNvSpPr>
      </xdr:nvSpPr>
      <xdr:spPr>
        <a:xfrm>
          <a:off x="5715000" y="7658100"/>
          <a:ext cx="544830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Constraints</a:t>
          </a:r>
          <a:r>
            <a:rPr lang="en-US" cap="none" sz="1000" b="0" i="0" u="none" baseline="0">
              <a:solidFill>
                <a:srgbClr val="000000"/>
              </a:solidFill>
              <a:latin typeface="Arial"/>
              <a:ea typeface="Arial"/>
              <a:cs typeface="Arial"/>
            </a:rPr>
            <a:t>
Some features are not incorporated like linear deployment or population merit selection. Gain is expressed by one character in one environment (but this is not very limiting as the character may be an index). This is for a seed orchard of grafted clones with no inbreeding and no relationships (first generation selections).</a:t>
          </a:r>
          <a:r>
            <a:rPr lang="en-US" cap="none" sz="1000" b="0" i="0" u="none" baseline="0">
              <a:solidFill>
                <a:srgbClr val="000000"/>
              </a:solidFill>
              <a:latin typeface="Arial"/>
              <a:ea typeface="Arial"/>
              <a:cs typeface="Arial"/>
            </a:rPr>
            <a:t> The breeding values are considered as known.</a:t>
          </a:r>
        </a:p>
      </xdr:txBody>
    </xdr:sp>
    <xdr:clientData/>
  </xdr:twoCellAnchor>
  <xdr:twoCellAnchor>
    <xdr:from>
      <xdr:col>9</xdr:col>
      <xdr:colOff>95250</xdr:colOff>
      <xdr:row>52</xdr:row>
      <xdr:rowOff>123825</xdr:rowOff>
    </xdr:from>
    <xdr:to>
      <xdr:col>18</xdr:col>
      <xdr:colOff>19050</xdr:colOff>
      <xdr:row>57</xdr:row>
      <xdr:rowOff>66675</xdr:rowOff>
    </xdr:to>
    <xdr:sp>
      <xdr:nvSpPr>
        <xdr:cNvPr id="6" name="Text 24"/>
        <xdr:cNvSpPr txBox="1">
          <a:spLocks noChangeArrowheads="1"/>
        </xdr:cNvSpPr>
      </xdr:nvSpPr>
      <xdr:spPr>
        <a:xfrm>
          <a:off x="5724525" y="8705850"/>
          <a:ext cx="544830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Trouble?</a:t>
          </a:r>
          <a:r>
            <a:rPr lang="en-US" cap="none" sz="1000" b="0" i="0" u="none" baseline="0">
              <a:solidFill>
                <a:srgbClr val="000000"/>
              </a:solidFill>
              <a:latin typeface="Arial"/>
              <a:ea typeface="Arial"/>
              <a:cs typeface="Arial"/>
            </a:rPr>
            <a:t>
Note that it is possible to give impossible input, usually the worksheet will protest by not working properly, but you get no error messages. You may look in the wrong place of the workbook or worksheet when you do not understand what you see.</a:t>
          </a:r>
        </a:p>
      </xdr:txBody>
    </xdr:sp>
    <xdr:clientData/>
  </xdr:twoCellAnchor>
  <xdr:twoCellAnchor>
    <xdr:from>
      <xdr:col>9</xdr:col>
      <xdr:colOff>66675</xdr:colOff>
      <xdr:row>23</xdr:row>
      <xdr:rowOff>19050</xdr:rowOff>
    </xdr:from>
    <xdr:to>
      <xdr:col>18</xdr:col>
      <xdr:colOff>114300</xdr:colOff>
      <xdr:row>36</xdr:row>
      <xdr:rowOff>104775</xdr:rowOff>
    </xdr:to>
    <xdr:sp>
      <xdr:nvSpPr>
        <xdr:cNvPr id="7" name="Text 25"/>
        <xdr:cNvSpPr txBox="1">
          <a:spLocks noChangeArrowheads="1"/>
        </xdr:cNvSpPr>
      </xdr:nvSpPr>
      <xdr:spPr>
        <a:xfrm>
          <a:off x="5695950" y="3781425"/>
          <a:ext cx="5572125" cy="222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Contamination</a:t>
          </a:r>
          <a:r>
            <a:rPr lang="en-US" cap="none" sz="1000" b="0" i="0" u="none" baseline="0">
              <a:latin typeface="Arial"/>
              <a:ea typeface="Arial"/>
              <a:cs typeface="Arial"/>
            </a:rPr>
            <a:t>
It flows alien pollen into a seed orchard. This gene migration (</a:t>
          </a:r>
          <a:r>
            <a:rPr lang="en-US" cap="none" sz="1000" b="0" i="1" u="none" baseline="0">
              <a:latin typeface="Arial"/>
              <a:ea typeface="Arial"/>
              <a:cs typeface="Arial"/>
            </a:rPr>
            <a:t>M</a:t>
          </a:r>
          <a:r>
            <a:rPr lang="en-US" cap="none" sz="1000" b="0" i="0" u="none" baseline="0">
              <a:latin typeface="Arial"/>
              <a:ea typeface="Arial"/>
              <a:cs typeface="Arial"/>
            </a:rPr>
            <a:t>) can be used as an entry, but note that </a:t>
          </a:r>
          <a:r>
            <a:rPr lang="en-US" cap="none" sz="1000" b="0" i="1" u="none" baseline="0">
              <a:latin typeface="Arial"/>
              <a:ea typeface="Arial"/>
              <a:cs typeface="Arial"/>
            </a:rPr>
            <a:t>M</a:t>
          </a:r>
          <a:r>
            <a:rPr lang="en-US" cap="none" sz="1000" b="0" i="0" u="none" baseline="0">
              <a:latin typeface="Arial"/>
              <a:ea typeface="Arial"/>
              <a:cs typeface="Arial"/>
            </a:rPr>
            <a:t> is half of the pollen contamination (as where is no contamination on the female side). It is assumed the alien pollen is unrelated with all seed orchard clon</a:t>
          </a:r>
          <a:r>
            <a:rPr lang="en-US" cap="none" sz="1000" b="0" i="0" u="none" baseline="0">
              <a:solidFill>
                <a:srgbClr val="000000"/>
              </a:solidFill>
              <a:latin typeface="Arial"/>
              <a:ea typeface="Arial"/>
              <a:cs typeface="Arial"/>
            </a:rPr>
            <a:t>es and with itself, so it widens the diversity quit a bit. The genetic quality of the contaminating pollen c</a:t>
          </a:r>
          <a:r>
            <a:rPr lang="en-US" cap="none" sz="1000" b="0" i="0" u="none" baseline="0">
              <a:latin typeface="Arial"/>
              <a:ea typeface="Arial"/>
              <a:cs typeface="Arial"/>
            </a:rPr>
            <a:t>an be entered for gain calculations. Influence of contamination on genetic value can also be calculated as </a:t>
          </a:r>
          <a:r>
            <a:rPr lang="en-US" cap="none" sz="1000" b="0" i="1" u="none" baseline="0">
              <a:latin typeface="Arial"/>
              <a:ea typeface="Arial"/>
              <a:cs typeface="Arial"/>
            </a:rPr>
            <a:t>M</a:t>
          </a:r>
          <a:r>
            <a:rPr lang="en-US" cap="none" sz="1000" b="0" i="0" u="none" baseline="0">
              <a:latin typeface="Arial"/>
              <a:ea typeface="Arial"/>
              <a:cs typeface="Arial"/>
            </a:rPr>
            <a:t>*C, where </a:t>
          </a:r>
          <a:r>
            <a:rPr lang="en-US" cap="none" sz="1000" b="0" i="1" u="none" baseline="0">
              <a:latin typeface="Arial"/>
              <a:ea typeface="Arial"/>
              <a:cs typeface="Arial"/>
            </a:rPr>
            <a:t>C</a:t>
          </a:r>
          <a:r>
            <a:rPr lang="en-US" cap="none" sz="1000" b="0" i="0" u="none" baseline="0">
              <a:latin typeface="Arial"/>
              <a:ea typeface="Arial"/>
              <a:cs typeface="Arial"/>
            </a:rPr>
            <a:t> is the contamination inferiority.
Large differences in the genetic composition of seed orchard pollen and migrating pollen could influence the genetic composition and adaptation potential of orchard seeds even at small amounts of gene flow in the seed orchards.It is assumed that the contaminating pollen has a negative breeding value compared to seed orchard pollen.
Note that the effects of pollen migration on gene diversity have not always been correctly dealt with in earlier versions (before October 1999) in this worksheet (cf. Routsalainen et al 2000).</a:t>
          </a:r>
        </a:p>
      </xdr:txBody>
    </xdr:sp>
    <xdr:clientData/>
  </xdr:twoCellAnchor>
  <xdr:twoCellAnchor>
    <xdr:from>
      <xdr:col>9</xdr:col>
      <xdr:colOff>85725</xdr:colOff>
      <xdr:row>36</xdr:row>
      <xdr:rowOff>104775</xdr:rowOff>
    </xdr:from>
    <xdr:to>
      <xdr:col>18</xdr:col>
      <xdr:colOff>9525</xdr:colOff>
      <xdr:row>46</xdr:row>
      <xdr:rowOff>95250</xdr:rowOff>
    </xdr:to>
    <xdr:sp>
      <xdr:nvSpPr>
        <xdr:cNvPr id="8" name="Text 29"/>
        <xdr:cNvSpPr txBox="1">
          <a:spLocks noChangeArrowheads="1"/>
        </xdr:cNvSpPr>
      </xdr:nvSpPr>
      <xdr:spPr>
        <a:xfrm>
          <a:off x="5715000" y="6010275"/>
          <a:ext cx="5448300" cy="1609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Additional options?</a:t>
          </a:r>
          <a:r>
            <a:rPr lang="en-US" cap="none" sz="1000" b="0" i="0" u="none" baseline="0">
              <a:solidFill>
                <a:srgbClr val="000000"/>
              </a:solidFill>
              <a:latin typeface="Arial"/>
              <a:ea typeface="Arial"/>
              <a:cs typeface="Arial"/>
            </a:rPr>
            <a:t>
You may get a feel for what we are doing by playing with the numbers. Note that the worksheet can sometimes solve unforeseen problems with some imagination. </a:t>
          </a:r>
          <a:r>
            <a:rPr lang="en-US" cap="none" sz="1000" b="0" i="1" u="none" baseline="0">
              <a:solidFill>
                <a:srgbClr val="000000"/>
              </a:solidFill>
              <a:latin typeface="Arial"/>
              <a:ea typeface="Arial"/>
              <a:cs typeface="Arial"/>
            </a:rPr>
            <a:t>E.g.</a:t>
          </a:r>
          <a:r>
            <a:rPr lang="en-US" cap="none" sz="1000" b="0" i="0" u="none" baseline="0">
              <a:solidFill>
                <a:srgbClr val="000000"/>
              </a:solidFill>
              <a:latin typeface="Arial"/>
              <a:ea typeface="Arial"/>
              <a:cs typeface="Arial"/>
            </a:rPr>
            <a:t>, you may want the inbreeding in a seedling seed orchard obtained after wind pollination in a clonal orchard, when you may use that inbreeding is the group coancestry of random mating parents.  Note that it is possible to utilize the workbook for more than changing the red values once you have understood how it works. In that way the workbook may help you to study problems the workbook was not initially built for.  E.g. the different options can be expanded into seedling seed orchards with calculation of group coancestry.</a:t>
          </a:r>
        </a:p>
      </xdr:txBody>
    </xdr:sp>
    <xdr:clientData/>
  </xdr:twoCellAnchor>
  <xdr:twoCellAnchor>
    <xdr:from>
      <xdr:col>9</xdr:col>
      <xdr:colOff>76200</xdr:colOff>
      <xdr:row>6</xdr:row>
      <xdr:rowOff>76200</xdr:rowOff>
    </xdr:from>
    <xdr:to>
      <xdr:col>18</xdr:col>
      <xdr:colOff>9525</xdr:colOff>
      <xdr:row>15</xdr:row>
      <xdr:rowOff>38100</xdr:rowOff>
    </xdr:to>
    <xdr:sp>
      <xdr:nvSpPr>
        <xdr:cNvPr id="9" name="Text 25"/>
        <xdr:cNvSpPr txBox="1">
          <a:spLocks noChangeArrowheads="1"/>
        </xdr:cNvSpPr>
      </xdr:nvSpPr>
      <xdr:spPr>
        <a:xfrm>
          <a:off x="5705475" y="1085850"/>
          <a:ext cx="5457825"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Fertility variation</a:t>
          </a:r>
          <a:r>
            <a:rPr lang="en-US" cap="none" sz="1000" b="0" i="0" u="none" baseline="0">
              <a:solidFill>
                <a:srgbClr val="000000"/>
              </a:solidFill>
              <a:latin typeface="Arial"/>
              <a:ea typeface="Arial"/>
              <a:cs typeface="Arial"/>
            </a:rPr>
            <a:t>
Clones are not equally fertile. If clones are ranked according t</a:t>
          </a:r>
          <a:r>
            <a:rPr lang="en-US" cap="none" sz="1000" b="0" i="0" u="none" baseline="0">
              <a:latin typeface="Arial"/>
              <a:ea typeface="Arial"/>
              <a:cs typeface="Arial"/>
            </a:rPr>
            <a:t>o their fertility, the cumulative fertility below the proportion x can be approximated by a power function described as </a:t>
          </a:r>
          <a:r>
            <a:rPr lang="en-US" cap="none" sz="1000" b="0" i="1" u="none" baseline="0">
              <a:solidFill>
                <a:srgbClr val="000000"/>
              </a:solidFill>
              <a:latin typeface="Arial"/>
              <a:ea typeface="Arial"/>
              <a:cs typeface="Arial"/>
            </a:rPr>
            <a:t>F</a:t>
          </a:r>
          <a:r>
            <a:rPr lang="en-US" cap="none" sz="1000" b="0" i="0" u="none" baseline="0">
              <a:latin typeface="Arial"/>
              <a:ea typeface="Arial"/>
              <a:cs typeface="Arial"/>
            </a:rPr>
            <a:t>(</a:t>
          </a:r>
          <a:r>
            <a:rPr lang="en-US" cap="none" sz="1000" b="0" i="1" u="none" baseline="0">
              <a:latin typeface="Arial"/>
              <a:ea typeface="Arial"/>
              <a:cs typeface="Arial"/>
            </a:rPr>
            <a:t>x</a:t>
          </a:r>
          <a:r>
            <a:rPr lang="en-US" cap="none" sz="1000" b="0" i="0" u="none" baseline="0">
              <a:latin typeface="Arial"/>
              <a:ea typeface="Arial"/>
              <a:cs typeface="Arial"/>
            </a:rPr>
            <a:t>)=</a:t>
          </a:r>
          <a:r>
            <a:rPr lang="en-US" cap="none" sz="1000" b="0" i="1" u="none" baseline="0">
              <a:latin typeface="Arial"/>
              <a:ea typeface="Arial"/>
              <a:cs typeface="Arial"/>
            </a:rPr>
            <a:t>x</a:t>
          </a:r>
          <a:r>
            <a:rPr lang="en-US" cap="none" sz="1000" b="0" i="0" u="none" baseline="30000">
              <a:latin typeface="Arial"/>
              <a:ea typeface="Arial"/>
              <a:cs typeface="Arial"/>
            </a:rPr>
            <a:t>a</a:t>
          </a:r>
          <a:r>
            <a:rPr lang="en-US" cap="none" sz="1000" b="0" i="0" u="none" baseline="0">
              <a:latin typeface="Arial"/>
              <a:ea typeface="Arial"/>
              <a:cs typeface="Arial"/>
            </a:rPr>
            <a:t>. Knowing </a:t>
          </a:r>
          <a:r>
            <a:rPr lang="en-US" cap="none" sz="1000" b="0" i="1" u="none" baseline="0">
              <a:latin typeface="Arial"/>
              <a:ea typeface="Arial"/>
              <a:cs typeface="Arial"/>
            </a:rPr>
            <a:t>CV</a:t>
          </a:r>
          <a:r>
            <a:rPr lang="en-US" cap="none" sz="1000" b="0" i="0" u="none" baseline="0">
              <a:latin typeface="Arial"/>
              <a:ea typeface="Arial"/>
              <a:cs typeface="Arial"/>
            </a:rPr>
            <a:t> (coefficient of variation of fertility), it is possible to derive '</a:t>
          </a:r>
          <a:r>
            <a:rPr lang="en-US" cap="none" sz="1000" b="0" i="1" u="none" baseline="0">
              <a:latin typeface="Arial"/>
              <a:ea typeface="Arial"/>
              <a:cs typeface="Arial"/>
            </a:rPr>
            <a:t>a'</a:t>
          </a:r>
          <a:r>
            <a:rPr lang="en-US" cap="none" sz="1000" b="0" i="0" u="none" baseline="0">
              <a:latin typeface="Arial"/>
              <a:ea typeface="Arial"/>
              <a:cs typeface="Arial"/>
            </a:rPr>
            <a:t> and '</a:t>
          </a:r>
          <a:r>
            <a:rPr lang="en-US" cap="none" sz="1000" b="0" i="1" u="none" baseline="0">
              <a:latin typeface="Arial"/>
              <a:ea typeface="Arial"/>
              <a:cs typeface="Arial"/>
            </a:rPr>
            <a:t>A'</a:t>
          </a:r>
          <a:r>
            <a:rPr lang="en-US" cap="none" sz="1000" b="0" i="0" u="none" baseline="0">
              <a:latin typeface="Arial"/>
              <a:ea typeface="Arial"/>
              <a:cs typeface="Arial"/>
            </a:rPr>
            <a:t>. With the </a:t>
          </a:r>
          <a:r>
            <a:rPr lang="en-US" cap="none" sz="1000" b="0" i="1" u="none" baseline="0">
              <a:latin typeface="Arial"/>
              <a:ea typeface="Arial"/>
              <a:cs typeface="Arial"/>
            </a:rPr>
            <a:t>CV</a:t>
          </a:r>
          <a:r>
            <a:rPr lang="en-US" cap="none" sz="1000" b="0" i="0" u="none" baseline="0">
              <a:latin typeface="Arial"/>
              <a:ea typeface="Arial"/>
              <a:cs typeface="Arial"/>
            </a:rPr>
            <a:t>s of female and male fertilities, total fertility variation of reproductive output (</a:t>
          </a:r>
          <a:r>
            <a:rPr lang="en-US" cap="none" sz="1000" b="0" i="1" u="none" baseline="0">
              <a:latin typeface="Arial"/>
              <a:ea typeface="Arial"/>
              <a:cs typeface="Arial"/>
            </a:rPr>
            <a:t>A</a:t>
          </a:r>
          <a:r>
            <a:rPr lang="en-US" cap="none" sz="1000" b="0" i="1" u="none" baseline="-25000">
              <a:latin typeface="Arial"/>
              <a:ea typeface="Arial"/>
              <a:cs typeface="Arial"/>
            </a:rPr>
            <a:t>t</a:t>
          </a:r>
          <a:r>
            <a:rPr lang="en-US" cap="none" sz="1000" b="0" i="0" u="none" baseline="0">
              <a:latin typeface="Arial"/>
              <a:ea typeface="Arial"/>
              <a:cs typeface="Arial"/>
            </a:rPr>
            <a:t>) can also be estimated from mother (</a:t>
          </a:r>
          <a:r>
            <a:rPr lang="en-US" cap="none" sz="1000" b="0" i="1" u="none" baseline="0">
              <a:latin typeface="Arial"/>
              <a:ea typeface="Arial"/>
              <a:cs typeface="Arial"/>
            </a:rPr>
            <a:t>A</a:t>
          </a:r>
          <a:r>
            <a:rPr lang="en-US" cap="none" sz="1000" b="0" i="1" u="none" baseline="-25000">
              <a:latin typeface="Arial"/>
              <a:ea typeface="Arial"/>
              <a:cs typeface="Arial"/>
            </a:rPr>
            <a:t>m</a:t>
          </a:r>
          <a:r>
            <a:rPr lang="en-US" cap="none" sz="1000" b="0" i="0" u="none" baseline="0">
              <a:latin typeface="Arial"/>
              <a:ea typeface="Arial"/>
              <a:cs typeface="Arial"/>
            </a:rPr>
            <a:t>) and father (</a:t>
          </a:r>
          <a:r>
            <a:rPr lang="en-US" cap="none" sz="1000" b="0" i="1" u="none" baseline="0">
              <a:latin typeface="Arial"/>
              <a:ea typeface="Arial"/>
              <a:cs typeface="Arial"/>
            </a:rPr>
            <a:t>A</a:t>
          </a:r>
          <a:r>
            <a:rPr lang="en-US" cap="none" sz="1000" b="0" i="1" u="none" baseline="-25000">
              <a:latin typeface="Arial"/>
              <a:ea typeface="Arial"/>
              <a:cs typeface="Arial"/>
            </a:rPr>
            <a:t>f</a:t>
          </a:r>
          <a:r>
            <a:rPr lang="en-US" cap="none" sz="1000" b="0" i="0" u="none" baseline="0">
              <a:latin typeface="Arial"/>
              <a:ea typeface="Arial"/>
              <a:cs typeface="Arial"/>
            </a:rPr>
            <a:t>) fertilities. It is assumed that fertility is not correlated with breeding value, techniques for controllin</a:t>
          </a:r>
          <a:r>
            <a:rPr lang="en-US" cap="none" sz="1000" b="0" i="0" u="none" baseline="0">
              <a:solidFill>
                <a:srgbClr val="000000"/>
              </a:solidFill>
              <a:latin typeface="Arial"/>
              <a:ea typeface="Arial"/>
              <a:cs typeface="Arial"/>
            </a:rPr>
            <a:t>g fertility by adjusting ramet numbers when breeding values are known are demonstrated on other programs (some of the available at this FTP-site).</a:t>
          </a:r>
        </a:p>
      </xdr:txBody>
    </xdr:sp>
    <xdr:clientData/>
  </xdr:twoCellAnchor>
  <xdr:twoCellAnchor>
    <xdr:from>
      <xdr:col>9</xdr:col>
      <xdr:colOff>38100</xdr:colOff>
      <xdr:row>16</xdr:row>
      <xdr:rowOff>123825</xdr:rowOff>
    </xdr:from>
    <xdr:to>
      <xdr:col>17</xdr:col>
      <xdr:colOff>619125</xdr:colOff>
      <xdr:row>23</xdr:row>
      <xdr:rowOff>66675</xdr:rowOff>
    </xdr:to>
    <xdr:sp>
      <xdr:nvSpPr>
        <xdr:cNvPr id="10" name="Text 25"/>
        <xdr:cNvSpPr txBox="1">
          <a:spLocks noChangeArrowheads="1"/>
        </xdr:cNvSpPr>
      </xdr:nvSpPr>
      <xdr:spPr>
        <a:xfrm>
          <a:off x="5667375" y="2752725"/>
          <a:ext cx="54578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Relative gene diversity
</a:t>
          </a:r>
          <a:r>
            <a:rPr lang="en-US" cap="none" sz="1000" b="0" i="0" u="none" baseline="0">
              <a:latin typeface="Arial"/>
              <a:ea typeface="Arial"/>
              <a:cs typeface="Arial"/>
            </a:rPr>
            <a:t>Gene diversity (</a:t>
          </a:r>
          <a:r>
            <a:rPr lang="en-US" cap="none" sz="1000" b="0" i="1" u="none" baseline="0">
              <a:latin typeface="Arial"/>
              <a:ea typeface="Arial"/>
              <a:cs typeface="Arial"/>
            </a:rPr>
            <a:t>GD</a:t>
          </a:r>
          <a:r>
            <a:rPr lang="en-US" cap="none" sz="1000" b="0" i="0" u="none" baseline="0">
              <a:latin typeface="Arial"/>
              <a:ea typeface="Arial"/>
              <a:cs typeface="Arial"/>
            </a:rPr>
            <a:t>) can easily be derived from group coancestry (thus from status number).
</a:t>
          </a:r>
          <a:r>
            <a:rPr lang="en-US" cap="none" sz="1000" b="0" i="1" u="none" baseline="0">
              <a:latin typeface="Arial"/>
              <a:ea typeface="Arial"/>
              <a:cs typeface="Arial"/>
            </a:rPr>
            <a:t>GD</a:t>
          </a:r>
          <a:r>
            <a:rPr lang="en-US" cap="none" sz="1000" b="0" i="0" u="none" baseline="0">
              <a:latin typeface="Arial"/>
              <a:ea typeface="Arial"/>
              <a:cs typeface="Arial"/>
            </a:rPr>
            <a:t> of seed crops can be regarded as relative to a reference population from which plus trees were selected (</a:t>
          </a:r>
          <a:r>
            <a:rPr lang="en-US" cap="none" sz="1000" b="0" i="1" u="none" baseline="0">
              <a:latin typeface="Arial"/>
              <a:ea typeface="Arial"/>
              <a:cs typeface="Arial"/>
            </a:rPr>
            <a:t>i.e.</a:t>
          </a:r>
          <a:r>
            <a:rPr lang="en-US" cap="none" sz="1000" b="0" i="0" u="none" baseline="0">
              <a:latin typeface="Arial"/>
              <a:ea typeface="Arial"/>
              <a:cs typeface="Arial"/>
            </a:rPr>
            <a:t>, the wild forest). Thus, </a:t>
          </a:r>
          <a:r>
            <a:rPr lang="en-US" cap="none" sz="1000" b="0" i="1" u="none" baseline="0">
              <a:latin typeface="Arial"/>
              <a:ea typeface="Arial"/>
              <a:cs typeface="Arial"/>
            </a:rPr>
            <a:t>GD</a:t>
          </a:r>
          <a:r>
            <a:rPr lang="en-US" cap="none" sz="1000" b="0" i="0" u="none" baseline="0">
              <a:latin typeface="Arial"/>
              <a:ea typeface="Arial"/>
              <a:cs typeface="Arial"/>
            </a:rPr>
            <a:t> of reference population is set the value of 1.
Group coancestry of the seed crops will be inbreeding (</a:t>
          </a:r>
          <a:r>
            <a:rPr lang="en-US" cap="none" sz="1000" b="0" i="1" u="none" baseline="0">
              <a:latin typeface="Arial"/>
              <a:ea typeface="Arial"/>
              <a:cs typeface="Arial"/>
            </a:rPr>
            <a:t>F</a:t>
          </a:r>
          <a:r>
            <a:rPr lang="en-US" cap="none" sz="1000" b="0" i="0" u="none" baseline="0">
              <a:latin typeface="Arial"/>
              <a:ea typeface="Arial"/>
              <a:cs typeface="Arial"/>
            </a:rPr>
            <a:t>) in next generation following random mating.</a:t>
          </a:r>
        </a:p>
      </xdr:txBody>
    </xdr:sp>
    <xdr:clientData/>
  </xdr:twoCellAnchor>
  <xdr:twoCellAnchor>
    <xdr:from>
      <xdr:col>9</xdr:col>
      <xdr:colOff>95250</xdr:colOff>
      <xdr:row>57</xdr:row>
      <xdr:rowOff>104775</xdr:rowOff>
    </xdr:from>
    <xdr:to>
      <xdr:col>18</xdr:col>
      <xdr:colOff>19050</xdr:colOff>
      <xdr:row>63</xdr:row>
      <xdr:rowOff>123825</xdr:rowOff>
    </xdr:to>
    <xdr:sp>
      <xdr:nvSpPr>
        <xdr:cNvPr id="11" name="Text 24"/>
        <xdr:cNvSpPr txBox="1">
          <a:spLocks noChangeArrowheads="1"/>
        </xdr:cNvSpPr>
      </xdr:nvSpPr>
      <xdr:spPr>
        <a:xfrm>
          <a:off x="5724525" y="9496425"/>
          <a:ext cx="544830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Simple version</a:t>
          </a:r>
          <a:r>
            <a:rPr lang="en-US" cap="none" sz="1000" b="0" i="0" u="none" baseline="0">
              <a:solidFill>
                <a:srgbClr val="000000"/>
              </a:solidFill>
              <a:latin typeface="Arial"/>
              <a:ea typeface="Arial"/>
              <a:cs typeface="Arial"/>
            </a:rPr>
            <a:t>
In this version, genetic gain and gene diversity (</a:t>
          </a:r>
          <a:r>
            <a:rPr lang="en-US" cap="none" sz="1000" b="0" i="1" u="none" baseline="0">
              <a:solidFill>
                <a:srgbClr val="000000"/>
              </a:solidFill>
              <a:latin typeface="Arial"/>
              <a:ea typeface="Arial"/>
              <a:cs typeface="Arial"/>
            </a:rPr>
            <a:t>N</a:t>
          </a:r>
          <a:r>
            <a:rPr lang="en-US" cap="none" sz="1000" b="0" i="1" u="none" baseline="-25000">
              <a:solidFill>
                <a:srgbClr val="000000"/>
              </a:solidFill>
              <a:latin typeface="Arial"/>
              <a:ea typeface="Arial"/>
              <a:cs typeface="Arial"/>
            </a:rPr>
            <a:t>s</a:t>
          </a:r>
          <a:r>
            <a:rPr lang="en-US" cap="none" sz="1000" b="0" i="0" u="none" baseline="0">
              <a:solidFill>
                <a:srgbClr val="000000"/>
              </a:solidFill>
              <a:latin typeface="Arial"/>
              <a:ea typeface="Arial"/>
              <a:cs typeface="Arial"/>
            </a:rPr>
            <a:t> &amp; group coancestry) of seed crops were easily calculated considering genetic selection and pollen contamination, and compared for different management strategies. Additive variation is fixed at 1. If you want to know something more, e.g., formulas and fertility variation, you can go and try with advanced and more advanced versions.</a:t>
          </a:r>
        </a:p>
      </xdr:txBody>
    </xdr:sp>
    <xdr:clientData/>
  </xdr:twoCellAnchor>
  <xdr:twoCellAnchor>
    <xdr:from>
      <xdr:col>9</xdr:col>
      <xdr:colOff>95250</xdr:colOff>
      <xdr:row>63</xdr:row>
      <xdr:rowOff>171450</xdr:rowOff>
    </xdr:from>
    <xdr:to>
      <xdr:col>18</xdr:col>
      <xdr:colOff>19050</xdr:colOff>
      <xdr:row>69</xdr:row>
      <xdr:rowOff>95250</xdr:rowOff>
    </xdr:to>
    <xdr:sp>
      <xdr:nvSpPr>
        <xdr:cNvPr id="12" name="Text 24"/>
        <xdr:cNvSpPr txBox="1">
          <a:spLocks noChangeArrowheads="1"/>
        </xdr:cNvSpPr>
      </xdr:nvSpPr>
      <xdr:spPr>
        <a:xfrm>
          <a:off x="5724525" y="10610850"/>
          <a:ext cx="5448300"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Advanced version</a:t>
          </a:r>
          <a:r>
            <a:rPr lang="en-US" cap="none" sz="1000" b="0" i="0" u="none" baseline="0">
              <a:solidFill>
                <a:srgbClr val="000000"/>
              </a:solidFill>
              <a:latin typeface="Arial"/>
              <a:ea typeface="Arial"/>
              <a:cs typeface="Arial"/>
            </a:rPr>
            <a:t>
Here you can consider fertility variation and you can calculate variance effective population sizes (</a:t>
          </a:r>
          <a:r>
            <a:rPr lang="en-US" cap="none" sz="1000" b="0" i="1" u="none" baseline="0">
              <a:solidFill>
                <a:srgbClr val="000000"/>
              </a:solidFill>
              <a:latin typeface="Arial"/>
              <a:ea typeface="Arial"/>
              <a:cs typeface="Arial"/>
            </a:rPr>
            <a:t>N</a:t>
          </a:r>
          <a:r>
            <a:rPr lang="en-US" cap="none" sz="1000" b="0" i="1" u="none" baseline="-25000">
              <a:solidFill>
                <a:srgbClr val="000000"/>
              </a:solidFill>
              <a:latin typeface="Arial"/>
              <a:ea typeface="Arial"/>
              <a:cs typeface="Arial"/>
            </a:rPr>
            <a:t>e</a:t>
          </a:r>
          <a:r>
            <a:rPr lang="en-US" cap="none" sz="1000" b="0" i="0" u="none" baseline="30000">
              <a:solidFill>
                <a:srgbClr val="000000"/>
              </a:solidFill>
              <a:latin typeface="Arial"/>
              <a:ea typeface="Arial"/>
              <a:cs typeface="Arial"/>
            </a:rPr>
            <a:t>(</a:t>
          </a:r>
          <a:r>
            <a:rPr lang="en-US" cap="none" sz="1000" b="0" i="1" u="none" baseline="30000">
              <a:solidFill>
                <a:srgbClr val="000000"/>
              </a:solidFill>
              <a:latin typeface="Arial"/>
              <a:ea typeface="Arial"/>
              <a:cs typeface="Arial"/>
            </a:rPr>
            <a:t>v</a:t>
          </a:r>
          <a:r>
            <a:rPr lang="en-US" cap="none" sz="1000" b="0" i="0" u="none" baseline="30000">
              <a:solidFill>
                <a:srgbClr val="000000"/>
              </a:solidFill>
              <a:latin typeface="Arial"/>
              <a:ea typeface="Arial"/>
              <a:cs typeface="Arial"/>
            </a:rPr>
            <a:t>)</a:t>
          </a:r>
          <a:r>
            <a:rPr lang="en-US" cap="none" sz="1000" b="0" i="0" u="none" baseline="0">
              <a:solidFill>
                <a:srgbClr val="000000"/>
              </a:solidFill>
              <a:latin typeface="Arial"/>
              <a:ea typeface="Arial"/>
              <a:cs typeface="Arial"/>
            </a:rPr>
            <a:t>). Additive variation may be chosen. Also, all equations used are visible in this version, you can use it as a collection of formulas and it can help you understand how the calculations are done.</a:t>
          </a:r>
        </a:p>
      </xdr:txBody>
    </xdr:sp>
    <xdr:clientData/>
  </xdr:twoCellAnchor>
  <xdr:twoCellAnchor>
    <xdr:from>
      <xdr:col>9</xdr:col>
      <xdr:colOff>104775</xdr:colOff>
      <xdr:row>69</xdr:row>
      <xdr:rowOff>142875</xdr:rowOff>
    </xdr:from>
    <xdr:to>
      <xdr:col>18</xdr:col>
      <xdr:colOff>28575</xdr:colOff>
      <xdr:row>74</xdr:row>
      <xdr:rowOff>28575</xdr:rowOff>
    </xdr:to>
    <xdr:sp>
      <xdr:nvSpPr>
        <xdr:cNvPr id="13" name="Text 24"/>
        <xdr:cNvSpPr txBox="1">
          <a:spLocks noChangeArrowheads="1"/>
        </xdr:cNvSpPr>
      </xdr:nvSpPr>
      <xdr:spPr>
        <a:xfrm>
          <a:off x="5734050" y="11591925"/>
          <a:ext cx="5448300"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More advanced version</a:t>
          </a:r>
          <a:r>
            <a:rPr lang="en-US" cap="none" sz="1000" b="0" i="0" u="none" baseline="0">
              <a:solidFill>
                <a:srgbClr val="000000"/>
              </a:solidFill>
              <a:latin typeface="Arial"/>
              <a:ea typeface="Arial"/>
              <a:cs typeface="Arial"/>
            </a:rPr>
            <a:t>
Here we try to deal with different male and female fertility variations! We hope the results are correct but are not yet quite convinced. There is a figure that is describing the cumulated fertilities by a power function,  F(x)=x</a:t>
          </a:r>
          <a:r>
            <a:rPr lang="en-US" cap="none" sz="1000" b="0" i="0" u="none" baseline="30000">
              <a:solidFill>
                <a:srgbClr val="000000"/>
              </a:solidFill>
              <a:latin typeface="Arial"/>
              <a:ea typeface="Arial"/>
              <a:cs typeface="Arial"/>
            </a:rPr>
            <a:t>a</a:t>
          </a:r>
          <a:r>
            <a:rPr lang="en-US" cap="none" sz="1000" b="0" i="0" u="none" baseline="0">
              <a:solidFill>
                <a:srgbClr val="000000"/>
              </a:solidFill>
              <a:latin typeface="Arial"/>
              <a:ea typeface="Arial"/>
              <a:cs typeface="Arial"/>
            </a:rPr>
            <a:t>. (see also the explanation of fertility variation).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152400</xdr:rowOff>
    </xdr:from>
    <xdr:to>
      <xdr:col>9</xdr:col>
      <xdr:colOff>438150</xdr:colOff>
      <xdr:row>19</xdr:row>
      <xdr:rowOff>85725</xdr:rowOff>
    </xdr:to>
    <xdr:sp>
      <xdr:nvSpPr>
        <xdr:cNvPr id="1" name="TextBox 4"/>
        <xdr:cNvSpPr txBox="1">
          <a:spLocks noChangeArrowheads="1"/>
        </xdr:cNvSpPr>
      </xdr:nvSpPr>
      <xdr:spPr>
        <a:xfrm>
          <a:off x="95250" y="2286000"/>
          <a:ext cx="7115175" cy="1876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FF"/>
              </a:solidFill>
              <a:latin typeface="Arial"/>
              <a:ea typeface="Arial"/>
              <a:cs typeface="Arial"/>
            </a:rPr>
            <a:t>Lite om de värden som finns i originalversionen</a:t>
          </a:r>
          <a:r>
            <a:rPr lang="en-US" cap="none" sz="1000" b="0" i="0" u="none" baseline="0">
              <a:latin typeface="Arial"/>
              <a:ea typeface="Arial"/>
              <a:cs typeface="Arial"/>
            </a:rPr>
            <a:t>.
Vi tänker oss att plantageägaren Nisse Bosson önskar plocka de bästa klonerna. Den danska myndigheten tänkes ha bestämt att N</a:t>
          </a:r>
          <a:r>
            <a:rPr lang="en-US" cap="none" sz="1000" b="0" i="0" u="none" baseline="-25000">
              <a:latin typeface="Arial"/>
              <a:ea typeface="Arial"/>
              <a:cs typeface="Arial"/>
            </a:rPr>
            <a:t>eff</a:t>
          </a:r>
          <a:r>
            <a:rPr lang="en-US" cap="none" sz="1000" b="0" i="0" u="none" baseline="0">
              <a:latin typeface="Arial"/>
              <a:ea typeface="Arial"/>
              <a:cs typeface="Arial"/>
            </a:rPr>
            <a:t> skall vara 20, att A skall vara 2 (dvs klonantalet behöver fördubblas för att kompensera för diversitetsvariationerna)  och att pollenkontamination inte förekommer. Under dessa förutsättningar måste Nils Bosson plocka 25 kloner. Om man sätter in de bästa tillgängliga svenska skattningarna av kontaminationen och fertilitetsvariationen för gran räcker det med nio kloner för att uppfylla samma diversitetskrav och om det vore en svensk tallplantage skulle det räcka med sju.
Det sista exemplen berör en hybridlärkplantage med en mor, men tio fäder. Nyligen godkända sådana finns såväl i Danmark som Sverige. Modellen är inte helt perfekt för att behandla enklonsplantager, eftersom det inte finns någon fruktbarhetsvariation på honsidan. För lika fruktbarhet är modellen riktig, vilket ger ett effektivt antal på 3, och rimliga variationer ger effektiva antal ner mot 2.</a:t>
          </a:r>
        </a:p>
      </xdr:txBody>
    </xdr:sp>
    <xdr:clientData/>
  </xdr:twoCellAnchor>
  <xdr:twoCellAnchor>
    <xdr:from>
      <xdr:col>0</xdr:col>
      <xdr:colOff>104775</xdr:colOff>
      <xdr:row>20</xdr:row>
      <xdr:rowOff>57150</xdr:rowOff>
    </xdr:from>
    <xdr:to>
      <xdr:col>9</xdr:col>
      <xdr:colOff>438150</xdr:colOff>
      <xdr:row>24</xdr:row>
      <xdr:rowOff>19050</xdr:rowOff>
    </xdr:to>
    <xdr:sp>
      <xdr:nvSpPr>
        <xdr:cNvPr id="2" name="TextBox 5"/>
        <xdr:cNvSpPr txBox="1">
          <a:spLocks noChangeArrowheads="1"/>
        </xdr:cNvSpPr>
      </xdr:nvSpPr>
      <xdr:spPr>
        <a:xfrm>
          <a:off x="104775" y="4295775"/>
          <a:ext cx="710565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FF"/>
              </a:solidFill>
              <a:latin typeface="Arial"/>
              <a:ea typeface="Arial"/>
              <a:cs typeface="Arial"/>
            </a:rPr>
            <a:t>Får vi pålitligare värden på A?</a:t>
          </a:r>
          <a:r>
            <a:rPr lang="en-US" cap="none" sz="1000" b="0" i="0" u="none" baseline="0">
              <a:latin typeface="Arial"/>
              <a:ea typeface="Arial"/>
              <a:cs typeface="Arial"/>
            </a:rPr>
            <a:t>
Adolfo Bila (2000) och  Kyu-Suk Kang (2001) har skrivit doktorsavhandlingar där det ingår litteratur översikter över A.
Kang kallade A "sibling coefficient".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oleObject" Target="../embeddings/oleObject_1_2.bin" /><Relationship Id="rId5" Type="http://schemas.openxmlformats.org/officeDocument/2006/relationships/oleObject" Target="../embeddings/oleObject_1_3.bin" /><Relationship Id="rId6" Type="http://schemas.openxmlformats.org/officeDocument/2006/relationships/oleObject" Target="../embeddings/oleObject_1_4.bin" /><Relationship Id="rId7" Type="http://schemas.openxmlformats.org/officeDocument/2006/relationships/oleObject" Target="../embeddings/oleObject_1_5.bin" /><Relationship Id="rId8" Type="http://schemas.openxmlformats.org/officeDocument/2006/relationships/oleObject" Target="../embeddings/oleObject_1_6.bin" /><Relationship Id="rId9" Type="http://schemas.openxmlformats.org/officeDocument/2006/relationships/oleObject" Target="../embeddings/oleObject_1_7.bin" /><Relationship Id="rId10" Type="http://schemas.openxmlformats.org/officeDocument/2006/relationships/oleObject" Target="../embeddings/oleObject_1_8.bin" /><Relationship Id="rId11" Type="http://schemas.openxmlformats.org/officeDocument/2006/relationships/oleObject" Target="../embeddings/oleObject_1_9.bin" /><Relationship Id="rId12" Type="http://schemas.openxmlformats.org/officeDocument/2006/relationships/oleObject" Target="../embeddings/oleObject_1_10.bin" /><Relationship Id="rId13" Type="http://schemas.openxmlformats.org/officeDocument/2006/relationships/oleObject" Target="../embeddings/oleObject_1_11.bin" /><Relationship Id="rId14" Type="http://schemas.openxmlformats.org/officeDocument/2006/relationships/oleObject" Target="../embeddings/oleObject_1_12.bin" /><Relationship Id="rId15" Type="http://schemas.openxmlformats.org/officeDocument/2006/relationships/oleObject" Target="../embeddings/oleObject_1_13.bin" /><Relationship Id="rId16" Type="http://schemas.openxmlformats.org/officeDocument/2006/relationships/vmlDrawing" Target="../drawings/vmlDrawing2.v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oleObject" Target="../embeddings/oleObject_2_2.bin" /><Relationship Id="rId5" Type="http://schemas.openxmlformats.org/officeDocument/2006/relationships/oleObject" Target="../embeddings/oleObject_2_3.bin" /><Relationship Id="rId6" Type="http://schemas.openxmlformats.org/officeDocument/2006/relationships/oleObject" Target="../embeddings/oleObject_2_4.bin" /><Relationship Id="rId7" Type="http://schemas.openxmlformats.org/officeDocument/2006/relationships/vmlDrawing" Target="../drawings/vmlDrawing3.vml" /><Relationship Id="rId8" Type="http://schemas.openxmlformats.org/officeDocument/2006/relationships/drawing" Target="../drawings/drawing1.xm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oleObject" Target="../embeddings/oleObject_4_1.bin" /><Relationship Id="rId4" Type="http://schemas.openxmlformats.org/officeDocument/2006/relationships/oleObject" Target="../embeddings/oleObject_4_2.bin" /><Relationship Id="rId5" Type="http://schemas.openxmlformats.org/officeDocument/2006/relationships/vmlDrawing" Target="../drawings/vmlDrawing5.vml" /><Relationship Id="rId6" Type="http://schemas.openxmlformats.org/officeDocument/2006/relationships/drawing" Target="../drawings/drawing3.xml" /><Relationship Id="rId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dimension ref="A1:J28"/>
  <sheetViews>
    <sheetView tabSelected="1" workbookViewId="0" topLeftCell="A1">
      <selection activeCell="A3" sqref="A3"/>
    </sheetView>
  </sheetViews>
  <sheetFormatPr defaultColWidth="9.140625" defaultRowHeight="12.75"/>
  <cols>
    <col min="1" max="1" width="5.28125" style="0" customWidth="1"/>
    <col min="2" max="2" width="38.00390625" style="0" customWidth="1"/>
    <col min="3" max="3" width="10.140625" style="0" customWidth="1"/>
    <col min="4" max="4" width="10.8515625" style="0" customWidth="1"/>
    <col min="5" max="5" width="11.8515625" style="0" customWidth="1"/>
    <col min="6" max="6" width="9.8515625" style="0" customWidth="1"/>
    <col min="7" max="7" width="14.00390625" style="0" customWidth="1"/>
    <col min="8" max="8" width="7.421875" style="0" customWidth="1"/>
    <col min="9" max="9" width="7.00390625" style="0" customWidth="1"/>
  </cols>
  <sheetData>
    <row r="1" spans="1:10" ht="38.25" customHeight="1">
      <c r="A1" s="131" t="s">
        <v>0</v>
      </c>
      <c r="B1" s="9"/>
      <c r="C1" s="9"/>
      <c r="D1" s="9"/>
      <c r="E1" s="9"/>
      <c r="F1" s="9"/>
      <c r="G1" s="9" t="s">
        <v>123</v>
      </c>
      <c r="H1" s="9"/>
      <c r="I1" s="1"/>
      <c r="J1" s="1"/>
    </row>
    <row r="2" spans="2:10" ht="12.75">
      <c r="B2" s="7"/>
      <c r="C2" s="1"/>
      <c r="D2" s="1"/>
      <c r="E2" s="1"/>
      <c r="F2" s="1"/>
      <c r="G2" s="1"/>
      <c r="H2" s="1"/>
      <c r="J2" s="1"/>
    </row>
    <row r="3" spans="2:10" ht="12.75">
      <c r="B3" s="73" t="s">
        <v>1</v>
      </c>
      <c r="C3" s="6" t="s">
        <v>2</v>
      </c>
      <c r="D3" s="70" t="s">
        <v>3</v>
      </c>
      <c r="E3" s="98"/>
      <c r="F3" s="2"/>
      <c r="G3" s="1"/>
      <c r="H3" s="23"/>
      <c r="I3" s="1"/>
      <c r="J3" s="1"/>
    </row>
    <row r="4" spans="1:10" ht="12.75">
      <c r="A4" s="12" t="s">
        <v>4</v>
      </c>
      <c r="C4" s="1"/>
      <c r="J4" s="1"/>
    </row>
    <row r="5" spans="2:10" ht="14.25" customHeight="1">
      <c r="B5" s="73" t="s">
        <v>60</v>
      </c>
      <c r="C5" s="74">
        <v>40</v>
      </c>
      <c r="D5" s="1"/>
      <c r="E5" s="130" t="s">
        <v>63</v>
      </c>
      <c r="F5" s="45">
        <v>-1</v>
      </c>
      <c r="G5" s="1"/>
      <c r="J5" s="1"/>
    </row>
    <row r="6" spans="1:10" ht="13.5" customHeight="1">
      <c r="A6" s="1"/>
      <c r="B6" s="130" t="s">
        <v>99</v>
      </c>
      <c r="C6" s="75">
        <f>(C5/100)/2</f>
        <v>0.2</v>
      </c>
      <c r="E6" s="130" t="s">
        <v>64</v>
      </c>
      <c r="F6" s="37">
        <f>C6*F5</f>
        <v>-0.2</v>
      </c>
      <c r="H6" s="23"/>
      <c r="I6" s="1"/>
      <c r="J6" s="1"/>
    </row>
    <row r="7" spans="1:10" ht="15" customHeight="1">
      <c r="A7" s="1"/>
      <c r="B7" s="73" t="s">
        <v>61</v>
      </c>
      <c r="C7" s="2">
        <f>(1-C6)^2</f>
        <v>0.6400000000000001</v>
      </c>
      <c r="D7" s="139" t="s">
        <v>5</v>
      </c>
      <c r="E7" s="126"/>
      <c r="F7" s="132"/>
      <c r="G7" s="140" t="s">
        <v>59</v>
      </c>
      <c r="H7" s="114"/>
      <c r="I7" s="115"/>
      <c r="J7" s="113"/>
    </row>
    <row r="8" spans="1:10" ht="24" customHeight="1" thickBot="1">
      <c r="A8" s="125"/>
      <c r="B8" s="135" t="s">
        <v>7</v>
      </c>
      <c r="C8" s="142" t="s">
        <v>68</v>
      </c>
      <c r="D8" s="141" t="s">
        <v>69</v>
      </c>
      <c r="E8" s="142" t="s">
        <v>97</v>
      </c>
      <c r="F8" s="145" t="s">
        <v>98</v>
      </c>
      <c r="G8" s="141" t="s">
        <v>9</v>
      </c>
      <c r="H8" s="116"/>
      <c r="I8" s="113"/>
      <c r="J8" s="113"/>
    </row>
    <row r="9" spans="1:10" ht="12.75">
      <c r="A9" s="21" t="s">
        <v>11</v>
      </c>
      <c r="B9" s="22"/>
      <c r="C9" s="26">
        <v>100</v>
      </c>
      <c r="D9" s="28">
        <f>0.5/G9</f>
        <v>156.24999999999997</v>
      </c>
      <c r="E9" s="60">
        <f>1-(1/(2*D9))</f>
        <v>0.9968</v>
      </c>
      <c r="F9" s="165">
        <f>(1-$C$6)*SelBurr(C9,$C$9)+$F$6</f>
        <v>-0.2</v>
      </c>
      <c r="G9" s="72">
        <f>(0.5*C$7)/C9</f>
        <v>0.0032000000000000006</v>
      </c>
      <c r="H9" s="44"/>
      <c r="I9" s="44"/>
      <c r="J9" s="14"/>
    </row>
    <row r="10" spans="1:10" ht="12.75">
      <c r="A10" s="99"/>
      <c r="B10" s="100" t="s">
        <v>56</v>
      </c>
      <c r="C10" s="101"/>
      <c r="D10" s="102"/>
      <c r="E10" s="103"/>
      <c r="F10" s="103"/>
      <c r="G10" s="106"/>
      <c r="H10" s="105"/>
      <c r="I10" s="105"/>
      <c r="J10" s="107"/>
    </row>
    <row r="11" spans="1:10" ht="12.75">
      <c r="A11" s="15" t="s">
        <v>12</v>
      </c>
      <c r="B11" s="14"/>
      <c r="C11" s="14"/>
      <c r="D11" s="32"/>
      <c r="E11" s="32"/>
      <c r="F11" s="166"/>
      <c r="G11" s="68"/>
      <c r="H11" s="14"/>
      <c r="I11" s="14"/>
      <c r="J11" s="14"/>
    </row>
    <row r="12" spans="1:10" ht="12.75">
      <c r="A12" s="15"/>
      <c r="B12" s="14" t="s">
        <v>13</v>
      </c>
      <c r="C12" s="17">
        <v>50</v>
      </c>
      <c r="D12" s="30">
        <f>0.5/G12</f>
        <v>112.35955056179776</v>
      </c>
      <c r="E12" s="59">
        <f>1-(1/(2*D12))</f>
        <v>0.99555</v>
      </c>
      <c r="F12" s="167">
        <f>SelBurr(C12,$C$9)/2+$F$6</f>
        <v>0.1958400172807508</v>
      </c>
      <c r="G12" s="71">
        <f>(0.125*(C9+(1-2*C6)*(3-2*C6)*C12))/(C9*C12)</f>
        <v>0.00445</v>
      </c>
      <c r="H12" s="14"/>
      <c r="I12" s="14"/>
      <c r="J12" s="14"/>
    </row>
    <row r="13" spans="1:10" ht="12.75">
      <c r="A13" s="15" t="s">
        <v>14</v>
      </c>
      <c r="B13" s="14"/>
      <c r="C13" s="18"/>
      <c r="D13" s="32"/>
      <c r="E13" s="32"/>
      <c r="F13" s="166"/>
      <c r="G13" s="69"/>
      <c r="H13" s="14"/>
      <c r="I13" s="14"/>
      <c r="J13" s="14"/>
    </row>
    <row r="14" spans="1:10" ht="12.75">
      <c r="A14" s="15"/>
      <c r="B14" s="14" t="s">
        <v>15</v>
      </c>
      <c r="C14" s="17">
        <v>80</v>
      </c>
      <c r="D14" s="30">
        <f>0.5/G14</f>
        <v>124.99999999999997</v>
      </c>
      <c r="E14" s="59">
        <f>1-(1/(2*D14))</f>
        <v>0.996</v>
      </c>
      <c r="F14" s="167">
        <f>(1-$C$6)*SelBurr(C14,$C$9)+$F$6</f>
        <v>0.07713268388600303</v>
      </c>
      <c r="G14" s="71">
        <f>(0.5*C$7)/C14</f>
        <v>0.004000000000000001</v>
      </c>
      <c r="I14" s="14"/>
      <c r="J14" s="14"/>
    </row>
    <row r="15" spans="1:10" ht="12.75">
      <c r="A15" s="15" t="s">
        <v>37</v>
      </c>
      <c r="B15" s="14"/>
      <c r="C15" s="18"/>
      <c r="D15" s="32"/>
      <c r="E15" s="32"/>
      <c r="F15" s="166"/>
      <c r="G15" s="69"/>
      <c r="H15" s="14"/>
      <c r="I15" s="14"/>
      <c r="J15" s="14"/>
    </row>
    <row r="16" spans="1:10" ht="12.75">
      <c r="A16" s="39"/>
      <c r="B16" s="40" t="s">
        <v>16</v>
      </c>
      <c r="C16" s="41">
        <v>50</v>
      </c>
      <c r="D16" s="42"/>
      <c r="E16" s="42"/>
      <c r="F16" s="168"/>
      <c r="G16" s="69"/>
      <c r="H16" s="40"/>
      <c r="I16" s="40"/>
      <c r="J16" s="40"/>
    </row>
    <row r="17" spans="1:10" ht="12.75">
      <c r="A17" s="15"/>
      <c r="B17" s="14" t="s">
        <v>17</v>
      </c>
      <c r="C17" s="17">
        <v>20</v>
      </c>
      <c r="D17" s="32"/>
      <c r="E17" s="32"/>
      <c r="F17" s="169"/>
      <c r="G17" s="69"/>
      <c r="H17" s="14"/>
      <c r="I17" s="14"/>
      <c r="J17" s="14"/>
    </row>
    <row r="18" spans="1:10" ht="12.75">
      <c r="A18" s="15"/>
      <c r="B18" s="14" t="s">
        <v>18</v>
      </c>
      <c r="C18" s="19"/>
      <c r="D18" s="30">
        <f>0.5/G18</f>
        <v>49.26108374384236</v>
      </c>
      <c r="E18" s="59">
        <f>1-(1/(2*D18))</f>
        <v>0.98985</v>
      </c>
      <c r="F18" s="167">
        <f>(SelBurr(C17,$C$9)+(1-2*$C$6)*SelBurr(C16,$C$9))/2+$F$6</f>
        <v>0.7303357200834582</v>
      </c>
      <c r="G18" s="71">
        <f>0.125*(C16+(1-2*C6)*(3-2*C6)*C17)/(C16*C17)</f>
        <v>0.010150000000000001</v>
      </c>
      <c r="H18" s="1"/>
      <c r="I18" s="14"/>
      <c r="J18" s="14"/>
    </row>
    <row r="19" spans="1:7" ht="12.75">
      <c r="A19" s="15" t="s">
        <v>19</v>
      </c>
      <c r="C19" s="18"/>
      <c r="D19" s="32"/>
      <c r="E19" s="32"/>
      <c r="F19" s="170"/>
      <c r="G19" s="69"/>
    </row>
    <row r="20" spans="1:7" ht="12.75">
      <c r="A20" s="15"/>
      <c r="B20" s="25" t="s">
        <v>20</v>
      </c>
      <c r="C20" s="27">
        <v>100</v>
      </c>
      <c r="D20" s="32"/>
      <c r="E20" s="32"/>
      <c r="F20" s="170"/>
      <c r="G20" s="68"/>
    </row>
    <row r="21" spans="1:7" ht="12.75">
      <c r="A21" s="66"/>
      <c r="B21" s="14" t="s">
        <v>107</v>
      </c>
      <c r="C21" s="17">
        <v>40</v>
      </c>
      <c r="D21" s="32"/>
      <c r="E21" s="32"/>
      <c r="F21" s="169"/>
      <c r="G21" s="69"/>
    </row>
    <row r="22" spans="1:7" ht="12.75">
      <c r="A22" s="66"/>
      <c r="B22" s="14" t="s">
        <v>106</v>
      </c>
      <c r="C22" s="17">
        <v>20</v>
      </c>
      <c r="D22" s="32"/>
      <c r="E22" s="32"/>
      <c r="F22" s="169"/>
      <c r="G22" s="69"/>
    </row>
    <row r="23" spans="1:7" ht="12.75">
      <c r="A23" s="66"/>
      <c r="B23" s="14" t="s">
        <v>124</v>
      </c>
      <c r="C23" s="67">
        <v>10</v>
      </c>
      <c r="D23" s="32"/>
      <c r="E23" s="32"/>
      <c r="F23" s="171"/>
      <c r="G23" s="69"/>
    </row>
    <row r="24" spans="1:7" ht="13.5" thickBot="1">
      <c r="A24" s="117"/>
      <c r="B24" s="118" t="s">
        <v>18</v>
      </c>
      <c r="C24" s="119">
        <f>C21+(C22-C23)</f>
        <v>50</v>
      </c>
      <c r="D24" s="120">
        <f>0.5/G24</f>
        <v>54.05405405405405</v>
      </c>
      <c r="E24" s="121">
        <f>1-(1/(2*D24))</f>
        <v>0.99075</v>
      </c>
      <c r="F24" s="172">
        <f>(SelBurr(C22,$C$20)+(1-2*$C$6)*SelBurr(C21,$C$20))/2+$F$6</f>
        <v>0.7802821350605862</v>
      </c>
      <c r="G24" s="124">
        <f>0.125*(C21+(1-2*C6)^2*C22+2*(1-2*C6)*C23)/(C21*C22)</f>
        <v>0.009250000000000001</v>
      </c>
    </row>
    <row r="25" spans="1:8" ht="12.75">
      <c r="A25" s="66"/>
      <c r="B25" s="1"/>
      <c r="C25" s="16"/>
      <c r="D25" s="1"/>
      <c r="E25" s="1"/>
      <c r="F25" s="1"/>
      <c r="G25" s="20"/>
      <c r="H25" s="1"/>
    </row>
    <row r="26" spans="1:10" ht="12.75">
      <c r="A26" s="64"/>
      <c r="B26" s="44"/>
      <c r="C26" s="44"/>
      <c r="H26" s="44"/>
      <c r="I26" s="44"/>
      <c r="J26" s="44"/>
    </row>
    <row r="27" spans="1:10" ht="12.75">
      <c r="A27" s="64"/>
      <c r="B27" s="44"/>
      <c r="C27" s="44"/>
      <c r="H27" s="44"/>
      <c r="I27" s="44"/>
      <c r="J27" s="44"/>
    </row>
    <row r="28" spans="1:3" ht="12.75">
      <c r="A28" s="66"/>
      <c r="C28" s="48"/>
    </row>
  </sheetData>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1"/>
  <dimension ref="A1:P29"/>
  <sheetViews>
    <sheetView workbookViewId="0" topLeftCell="A1">
      <selection activeCell="B3" sqref="B3"/>
    </sheetView>
  </sheetViews>
  <sheetFormatPr defaultColWidth="9.140625" defaultRowHeight="12.75"/>
  <cols>
    <col min="1" max="1" width="5.28125" style="0" customWidth="1"/>
    <col min="2" max="2" width="36.421875" style="0" customWidth="1"/>
    <col min="4" max="4" width="10.140625" style="0" customWidth="1"/>
    <col min="5" max="5" width="11.140625" style="0" customWidth="1"/>
    <col min="6" max="6" width="10.00390625" style="0" customWidth="1"/>
    <col min="7" max="7" width="9.8515625" style="0" customWidth="1"/>
    <col min="11" max="11" width="8.28125" style="0" customWidth="1"/>
    <col min="12" max="12" width="8.57421875" style="0" customWidth="1"/>
    <col min="15" max="15" width="9.57421875" style="0" customWidth="1"/>
  </cols>
  <sheetData>
    <row r="1" spans="1:16" ht="20.25">
      <c r="A1" s="8" t="s">
        <v>0</v>
      </c>
      <c r="B1" s="9"/>
      <c r="C1" s="9"/>
      <c r="D1" s="9"/>
      <c r="E1" s="9"/>
      <c r="F1" s="9"/>
      <c r="G1" s="9"/>
      <c r="H1" s="9" t="s">
        <v>125</v>
      </c>
      <c r="I1" s="9"/>
      <c r="J1" s="9"/>
      <c r="K1" s="9"/>
      <c r="L1" s="9"/>
      <c r="M1" s="10"/>
      <c r="N1" s="133"/>
      <c r="O1" s="10"/>
      <c r="P1" s="10"/>
    </row>
    <row r="2" spans="2:16" ht="12.75">
      <c r="B2" s="7"/>
      <c r="C2" s="1"/>
      <c r="D2" s="1"/>
      <c r="E2" s="1"/>
      <c r="F2" s="1"/>
      <c r="G2" s="1"/>
      <c r="H2" s="1"/>
      <c r="I2" s="1"/>
      <c r="J2" s="1"/>
      <c r="K2" s="1"/>
      <c r="M2" s="1"/>
      <c r="N2" s="1"/>
      <c r="O2" s="1"/>
      <c r="P2" s="1"/>
    </row>
    <row r="3" spans="5:16" ht="12.75">
      <c r="E3" s="98"/>
      <c r="F3" s="2"/>
      <c r="G3" s="1"/>
      <c r="H3" s="23" t="s">
        <v>126</v>
      </c>
      <c r="I3" s="23"/>
      <c r="J3" s="23"/>
      <c r="K3" s="23"/>
      <c r="L3" s="1"/>
      <c r="M3" s="1"/>
      <c r="N3" s="55"/>
      <c r="O3" s="1"/>
      <c r="P3" s="1"/>
    </row>
    <row r="4" spans="1:16" ht="12.75">
      <c r="A4" s="12" t="s">
        <v>4</v>
      </c>
      <c r="C4" s="1"/>
      <c r="F4" s="1"/>
      <c r="G4" s="130"/>
      <c r="H4" s="155"/>
      <c r="I4" s="1"/>
      <c r="J4" s="56"/>
      <c r="K4" s="55"/>
      <c r="L4" s="1"/>
      <c r="M4" s="56"/>
      <c r="N4" s="138"/>
      <c r="O4" s="1"/>
      <c r="P4" s="1"/>
    </row>
    <row r="5" spans="2:16" ht="15.75">
      <c r="B5" s="73" t="s">
        <v>60</v>
      </c>
      <c r="C5" s="74">
        <v>40</v>
      </c>
      <c r="D5" s="130" t="s">
        <v>63</v>
      </c>
      <c r="E5" s="45">
        <v>-1</v>
      </c>
      <c r="F5" s="1"/>
      <c r="G5" s="130" t="s">
        <v>94</v>
      </c>
      <c r="H5" s="79">
        <v>100</v>
      </c>
      <c r="I5" s="1"/>
      <c r="J5" s="56" t="s">
        <v>105</v>
      </c>
      <c r="K5" s="55">
        <f>(H5/100)^2+1</f>
        <v>2</v>
      </c>
      <c r="L5" s="1"/>
      <c r="M5" s="1"/>
      <c r="N5" s="1"/>
      <c r="O5" s="137"/>
      <c r="P5" s="1"/>
    </row>
    <row r="6" spans="1:16" ht="13.5">
      <c r="A6" s="1"/>
      <c r="B6" s="130" t="s">
        <v>62</v>
      </c>
      <c r="C6" s="75">
        <f>(C5/100)/2</f>
        <v>0.2</v>
      </c>
      <c r="D6" s="130" t="s">
        <v>64</v>
      </c>
      <c r="E6" s="37">
        <f>C6*E5</f>
        <v>-0.2</v>
      </c>
      <c r="F6" s="1"/>
      <c r="G6" s="129" t="s">
        <v>100</v>
      </c>
      <c r="H6" s="136">
        <v>1</v>
      </c>
      <c r="I6" s="1"/>
      <c r="J6" s="97"/>
      <c r="K6" s="156"/>
      <c r="L6" s="1"/>
      <c r="M6" s="1"/>
      <c r="N6" s="1"/>
      <c r="O6" s="5"/>
      <c r="P6" s="5"/>
    </row>
    <row r="7" spans="1:16" ht="13.5">
      <c r="A7" s="1"/>
      <c r="B7" s="73" t="s">
        <v>61</v>
      </c>
      <c r="C7" s="2">
        <f>(1-C6)^2</f>
        <v>0.6400000000000001</v>
      </c>
      <c r="D7" s="139" t="s">
        <v>5</v>
      </c>
      <c r="E7" s="126"/>
      <c r="F7" s="127"/>
      <c r="G7" s="128"/>
      <c r="H7" s="144" t="s">
        <v>6</v>
      </c>
      <c r="I7" s="62"/>
      <c r="J7" s="62"/>
      <c r="K7" s="62"/>
      <c r="L7" s="62"/>
      <c r="M7" s="126"/>
      <c r="N7" s="126"/>
      <c r="O7" s="157"/>
      <c r="P7" s="115"/>
    </row>
    <row r="8" spans="1:16" ht="35.25" customHeight="1" thickBot="1">
      <c r="A8" s="125"/>
      <c r="B8" s="148" t="s">
        <v>7</v>
      </c>
      <c r="C8" s="145" t="s">
        <v>74</v>
      </c>
      <c r="D8" s="141" t="s">
        <v>69</v>
      </c>
      <c r="E8" s="142" t="s">
        <v>70</v>
      </c>
      <c r="F8" s="142" t="s">
        <v>71</v>
      </c>
      <c r="G8" s="143" t="s">
        <v>72</v>
      </c>
      <c r="H8" s="146" t="s">
        <v>73</v>
      </c>
      <c r="I8" s="147" t="s">
        <v>8</v>
      </c>
      <c r="J8" s="147"/>
      <c r="K8" s="147"/>
      <c r="L8" s="141" t="s">
        <v>9</v>
      </c>
      <c r="M8" s="151" t="s">
        <v>10</v>
      </c>
      <c r="N8" s="149"/>
      <c r="O8" s="150"/>
      <c r="P8" s="113"/>
    </row>
    <row r="9" spans="1:16" ht="12.75">
      <c r="A9" s="21" t="s">
        <v>11</v>
      </c>
      <c r="B9" s="22"/>
      <c r="C9" s="26">
        <v>100</v>
      </c>
      <c r="D9" s="28">
        <f>0.5/L9</f>
        <v>78.12499999999999</v>
      </c>
      <c r="E9" s="28">
        <f>K$5/(2*L9*(K$5-1))</f>
        <v>156.24999999999997</v>
      </c>
      <c r="F9" s="60">
        <f>1-(1/(2*D9))</f>
        <v>0.9936</v>
      </c>
      <c r="G9" s="29">
        <f>(1-$C$6)*H9*$H$6+$E$6</f>
        <v>-0.2</v>
      </c>
      <c r="H9" s="76">
        <v>0</v>
      </c>
      <c r="I9" s="76"/>
      <c r="J9" s="76"/>
      <c r="K9" s="76"/>
      <c r="L9" s="72">
        <f>(0.5*K5*C$7)/C9</f>
        <v>0.006400000000000001</v>
      </c>
      <c r="M9" s="44"/>
      <c r="N9" s="44"/>
      <c r="O9" s="44"/>
      <c r="P9" s="44"/>
    </row>
    <row r="10" spans="1:16" ht="12.75">
      <c r="A10" s="99"/>
      <c r="B10" s="100" t="s">
        <v>56</v>
      </c>
      <c r="C10" s="101"/>
      <c r="D10" s="102"/>
      <c r="E10" s="102"/>
      <c r="F10" s="103"/>
      <c r="G10" s="104"/>
      <c r="H10" s="43"/>
      <c r="I10" s="43"/>
      <c r="J10" s="43"/>
      <c r="K10" s="43"/>
      <c r="L10" s="106"/>
      <c r="M10" s="105"/>
      <c r="N10" s="105"/>
      <c r="O10" s="105"/>
      <c r="P10" s="105"/>
    </row>
    <row r="11" spans="1:16" ht="12.75">
      <c r="A11" s="15" t="s">
        <v>12</v>
      </c>
      <c r="B11" s="14"/>
      <c r="C11" s="14"/>
      <c r="D11" s="32"/>
      <c r="E11" s="32"/>
      <c r="F11" s="32"/>
      <c r="G11" s="33"/>
      <c r="H11" s="37"/>
      <c r="I11" s="37"/>
      <c r="J11" s="37"/>
      <c r="K11" s="37"/>
      <c r="L11" s="68"/>
      <c r="M11" s="40"/>
      <c r="N11" s="40"/>
      <c r="O11" s="14"/>
      <c r="P11" s="14"/>
    </row>
    <row r="12" spans="1:16" ht="12.75">
      <c r="A12" s="15"/>
      <c r="B12" s="14" t="s">
        <v>13</v>
      </c>
      <c r="C12" s="17">
        <v>50</v>
      </c>
      <c r="D12" s="30">
        <f>0.5/L12</f>
        <v>56.17977528089888</v>
      </c>
      <c r="E12" s="49">
        <f>K$5/(2*L12*(K$5-1))</f>
        <v>112.35955056179776</v>
      </c>
      <c r="F12" s="59">
        <f>1-(1/(2*D12))</f>
        <v>0.9911</v>
      </c>
      <c r="G12" s="31">
        <f>H12*$H$6/2+$E$6</f>
        <v>0.1958400172807508</v>
      </c>
      <c r="H12" s="77">
        <f>SelBurr(C12,$C$9)</f>
        <v>0.7916800345615016</v>
      </c>
      <c r="I12" s="77"/>
      <c r="J12" s="77"/>
      <c r="K12" s="77"/>
      <c r="L12" s="71">
        <f>(K5*(C9+(1-2*C6)*(3-2*C6)*C12))/(8*C9*C12)</f>
        <v>0.0089</v>
      </c>
      <c r="M12" s="40"/>
      <c r="N12" s="40"/>
      <c r="O12" s="14"/>
      <c r="P12" s="14"/>
    </row>
    <row r="13" spans="1:16" ht="12.75">
      <c r="A13" s="15" t="s">
        <v>14</v>
      </c>
      <c r="B13" s="14"/>
      <c r="C13" s="18"/>
      <c r="D13" s="32"/>
      <c r="E13" s="32"/>
      <c r="F13" s="32"/>
      <c r="G13" s="33"/>
      <c r="H13" s="77"/>
      <c r="I13" s="77"/>
      <c r="J13" s="77"/>
      <c r="K13" s="77"/>
      <c r="L13" s="69"/>
      <c r="M13" s="40"/>
      <c r="N13" s="40"/>
      <c r="O13" s="14"/>
      <c r="P13" s="14"/>
    </row>
    <row r="14" spans="1:16" ht="12.75">
      <c r="A14" s="15"/>
      <c r="B14" s="14" t="s">
        <v>15</v>
      </c>
      <c r="C14" s="17">
        <v>40</v>
      </c>
      <c r="D14" s="30">
        <f>0.5/L14</f>
        <v>31.249999999999993</v>
      </c>
      <c r="E14" s="49">
        <f>K$5/(2*L14*(K$5-1))</f>
        <v>62.499999999999986</v>
      </c>
      <c r="F14" s="59">
        <f>1-(1/(2*D14))</f>
        <v>0.984</v>
      </c>
      <c r="G14" s="31">
        <f>(1-$C$6)*H14*$H$6+$E$6</f>
        <v>0.5665344675882098</v>
      </c>
      <c r="H14" s="77">
        <f>SelBurr(C14,$C$9)</f>
        <v>0.9581680844852621</v>
      </c>
      <c r="I14" s="77"/>
      <c r="J14" s="77"/>
      <c r="K14" s="77"/>
      <c r="L14" s="71">
        <f>(0.5*K5*C$7)/C14</f>
        <v>0.016000000000000004</v>
      </c>
      <c r="M14" s="44"/>
      <c r="N14" s="44"/>
      <c r="O14" s="14"/>
      <c r="P14" s="14"/>
    </row>
    <row r="15" spans="1:16" ht="12.75">
      <c r="A15" s="15" t="s">
        <v>37</v>
      </c>
      <c r="B15" s="14"/>
      <c r="C15" s="18"/>
      <c r="D15" s="32"/>
      <c r="E15" s="32"/>
      <c r="F15" s="32"/>
      <c r="G15" s="33"/>
      <c r="H15" s="77"/>
      <c r="I15" s="77"/>
      <c r="J15" s="77"/>
      <c r="K15" s="77"/>
      <c r="L15" s="69"/>
      <c r="M15" s="40"/>
      <c r="N15" s="40"/>
      <c r="O15" s="14"/>
      <c r="P15" s="14"/>
    </row>
    <row r="16" spans="1:16" ht="12.75">
      <c r="A16" s="39"/>
      <c r="B16" s="40" t="s">
        <v>16</v>
      </c>
      <c r="C16" s="41">
        <v>50</v>
      </c>
      <c r="D16" s="42"/>
      <c r="E16" s="42"/>
      <c r="F16" s="42"/>
      <c r="G16" s="43"/>
      <c r="H16" s="78">
        <f>SelBurr(C16,$C$9)</f>
        <v>0.7916800345615016</v>
      </c>
      <c r="I16" s="78"/>
      <c r="J16" s="78"/>
      <c r="K16" s="78"/>
      <c r="L16" s="69"/>
      <c r="M16" s="40"/>
      <c r="N16" s="40"/>
      <c r="O16" s="40"/>
      <c r="P16" s="40"/>
    </row>
    <row r="17" spans="1:16" ht="12.75">
      <c r="A17" s="15"/>
      <c r="B17" s="14" t="s">
        <v>17</v>
      </c>
      <c r="C17" s="17">
        <v>20</v>
      </c>
      <c r="D17" s="32"/>
      <c r="E17" s="32"/>
      <c r="F17" s="32"/>
      <c r="G17" s="34"/>
      <c r="H17" s="77">
        <f>SelBurr(C17,$C$9)</f>
        <v>1.3856634194300153</v>
      </c>
      <c r="I17" s="77"/>
      <c r="J17" s="77"/>
      <c r="K17" s="77"/>
      <c r="L17" s="69"/>
      <c r="M17" s="40"/>
      <c r="N17" s="40"/>
      <c r="O17" s="14"/>
      <c r="P17" s="14"/>
    </row>
    <row r="18" spans="1:16" ht="12.75">
      <c r="A18" s="15"/>
      <c r="B18" s="14" t="s">
        <v>18</v>
      </c>
      <c r="C18" s="19"/>
      <c r="D18" s="30">
        <f>0.5/L18</f>
        <v>24.63054187192118</v>
      </c>
      <c r="E18" s="49">
        <f>K$5/(2*L18*(K$5-1))</f>
        <v>49.26108374384236</v>
      </c>
      <c r="F18" s="59">
        <f>1-(1/(2*D18))</f>
        <v>0.9797</v>
      </c>
      <c r="G18" s="31">
        <f>(H17+(1-2*$C$6)*H16)*$H$6/2+$E$6</f>
        <v>0.7303357200834582</v>
      </c>
      <c r="H18" s="77"/>
      <c r="I18" s="77"/>
      <c r="J18" s="77"/>
      <c r="K18" s="77"/>
      <c r="L18" s="71">
        <f>K5*(C16+(1-2*C6)*(3-2*C6)*C17)/(8*C16*C17)</f>
        <v>0.020300000000000002</v>
      </c>
      <c r="M18" s="13"/>
      <c r="N18" s="13"/>
      <c r="O18" s="14"/>
      <c r="P18" s="14"/>
    </row>
    <row r="19" spans="1:14" ht="12.75">
      <c r="A19" s="15" t="s">
        <v>19</v>
      </c>
      <c r="C19" s="18"/>
      <c r="D19" s="32"/>
      <c r="E19" s="32"/>
      <c r="F19" s="32"/>
      <c r="G19" s="35"/>
      <c r="H19" s="77"/>
      <c r="I19" s="77"/>
      <c r="J19" s="77"/>
      <c r="K19" s="77"/>
      <c r="L19" s="69"/>
      <c r="M19" s="44"/>
      <c r="N19" s="44"/>
    </row>
    <row r="20" spans="1:14" ht="12.75">
      <c r="A20" s="15"/>
      <c r="B20" s="25" t="s">
        <v>20</v>
      </c>
      <c r="C20" s="27">
        <v>100</v>
      </c>
      <c r="D20" s="32"/>
      <c r="E20" s="32"/>
      <c r="F20" s="32"/>
      <c r="G20" s="35"/>
      <c r="H20" s="77"/>
      <c r="I20" s="77"/>
      <c r="J20" s="77"/>
      <c r="K20" s="77"/>
      <c r="L20" s="68"/>
      <c r="M20" s="44"/>
      <c r="N20" s="44"/>
    </row>
    <row r="21" spans="1:14" ht="12.75">
      <c r="A21" s="66"/>
      <c r="B21" s="14" t="s">
        <v>21</v>
      </c>
      <c r="C21" s="17">
        <v>40</v>
      </c>
      <c r="D21" s="32"/>
      <c r="E21" s="32"/>
      <c r="F21" s="32"/>
      <c r="G21" s="34"/>
      <c r="H21" s="77">
        <f>SelBurr(C21,$C$20)</f>
        <v>0.9581680844852621</v>
      </c>
      <c r="I21" s="77"/>
      <c r="J21" s="77"/>
      <c r="K21" s="77"/>
      <c r="L21" s="69"/>
      <c r="M21" s="44"/>
      <c r="N21" s="44"/>
    </row>
    <row r="22" spans="1:14" ht="12.75">
      <c r="A22" s="66"/>
      <c r="B22" s="14" t="s">
        <v>22</v>
      </c>
      <c r="C22" s="17">
        <v>20</v>
      </c>
      <c r="D22" s="32"/>
      <c r="E22" s="32"/>
      <c r="F22" s="32"/>
      <c r="G22" s="34"/>
      <c r="H22" s="77">
        <f>SelBurr(C22,$C$20)</f>
        <v>1.3856634194300153</v>
      </c>
      <c r="I22" s="77"/>
      <c r="J22" s="77"/>
      <c r="K22" s="77"/>
      <c r="L22" s="69"/>
      <c r="M22" s="44"/>
      <c r="N22" s="44"/>
    </row>
    <row r="23" spans="1:14" ht="12.75">
      <c r="A23" s="66"/>
      <c r="B23" s="14" t="s">
        <v>23</v>
      </c>
      <c r="C23" s="67">
        <v>10</v>
      </c>
      <c r="D23" s="32"/>
      <c r="E23" s="32"/>
      <c r="F23" s="32"/>
      <c r="G23" s="36"/>
      <c r="H23" s="20"/>
      <c r="I23" s="20"/>
      <c r="J23" s="20"/>
      <c r="K23" s="20"/>
      <c r="L23" s="69"/>
      <c r="M23" s="44"/>
      <c r="N23" s="44"/>
    </row>
    <row r="24" spans="1:15" ht="13.5" thickBot="1">
      <c r="A24" s="117"/>
      <c r="B24" s="118" t="s">
        <v>18</v>
      </c>
      <c r="C24" s="119">
        <f>C21+(C22-C23)</f>
        <v>50</v>
      </c>
      <c r="D24" s="120">
        <f>0.5/L24</f>
        <v>27.027027027027025</v>
      </c>
      <c r="E24" s="120">
        <f>K$5/(2*L24*(K$5-1))</f>
        <v>54.05405405405405</v>
      </c>
      <c r="F24" s="121">
        <f>1-(1/(2*D24))</f>
        <v>0.9815</v>
      </c>
      <c r="G24" s="122">
        <f>(H22+(1-2*$C$6)*H21)*$H$6/2+$E$6</f>
        <v>0.7802821350605862</v>
      </c>
      <c r="H24" s="123"/>
      <c r="I24" s="123"/>
      <c r="J24" s="123"/>
      <c r="K24" s="123"/>
      <c r="L24" s="124">
        <f>K5*(C21+(1-2*C6)^2*C22+2*(1-2*C6)*C23)/(8*C21*C22)</f>
        <v>0.018500000000000003</v>
      </c>
      <c r="M24" s="112"/>
      <c r="N24" s="112"/>
      <c r="O24" s="112"/>
    </row>
    <row r="25" spans="1:12" ht="12.75">
      <c r="A25" s="66"/>
      <c r="B25" s="1"/>
      <c r="C25" s="16"/>
      <c r="D25" s="1"/>
      <c r="E25" s="1"/>
      <c r="F25" s="1"/>
      <c r="G25" s="1"/>
      <c r="H25" s="20"/>
      <c r="I25" s="20"/>
      <c r="J25" s="20"/>
      <c r="K25" s="20"/>
      <c r="L25" s="1"/>
    </row>
    <row r="26" spans="1:16" ht="12.75">
      <c r="A26" s="64"/>
      <c r="B26" s="44"/>
      <c r="C26" s="44"/>
      <c r="H26" s="44"/>
      <c r="I26" s="44"/>
      <c r="J26" s="44"/>
      <c r="K26" s="44"/>
      <c r="L26" s="44"/>
      <c r="M26" s="44"/>
      <c r="N26" s="44"/>
      <c r="O26" s="44"/>
      <c r="P26" s="44"/>
    </row>
    <row r="27" spans="1:16" ht="12.75">
      <c r="A27" s="64"/>
      <c r="B27" s="44"/>
      <c r="C27" s="44"/>
      <c r="H27" s="44"/>
      <c r="I27" s="44"/>
      <c r="J27" s="44"/>
      <c r="K27" s="44"/>
      <c r="L27" s="44"/>
      <c r="M27" s="44"/>
      <c r="N27" s="44"/>
      <c r="O27" s="44"/>
      <c r="P27" s="44"/>
    </row>
    <row r="28" spans="1:3" ht="12.75">
      <c r="A28" s="66"/>
      <c r="C28" s="48"/>
    </row>
    <row r="29" ht="12.75">
      <c r="A29" s="65"/>
    </row>
  </sheetData>
  <printOptions/>
  <pageMargins left="0.75" right="0.75" top="1" bottom="1" header="0.5" footer="0.5"/>
  <pageSetup horizontalDpi="600" verticalDpi="600" orientation="portrait" paperSize="9" r:id="rId17"/>
  <legacyDrawing r:id="rId16"/>
  <oleObjects>
    <oleObject progId="Equation.3" shapeId="2596972" r:id="rId2"/>
    <oleObject progId="Equation.3" shapeId="2596980" r:id="rId3"/>
    <oleObject progId="Equation.3" shapeId="2596981" r:id="rId4"/>
    <oleObject progId="Equation.2" shapeId="2596982" r:id="rId5"/>
    <oleObject progId="Equation.3" shapeId="2596983" r:id="rId6"/>
    <oleObject progId="Equation.3" shapeId="2596984" r:id="rId7"/>
    <oleObject progId="Equation.3" shapeId="2596985" r:id="rId8"/>
    <oleObject progId="Equation.3" shapeId="2596986" r:id="rId9"/>
    <oleObject progId="Equation.3" shapeId="2596987" r:id="rId10"/>
    <oleObject progId="Equation.3" shapeId="2596988" r:id="rId11"/>
    <oleObject progId="Equation.3" shapeId="2596989" r:id="rId12"/>
    <oleObject progId="Equation.3" shapeId="2596990" r:id="rId13"/>
    <oleObject progId="Equation.3" shapeId="2596991" r:id="rId14"/>
    <oleObject progId="Equation.3" shapeId="2596992" r:id="rId15"/>
  </oleObjects>
</worksheet>
</file>

<file path=xl/worksheets/sheet3.xml><?xml version="1.0" encoding="utf-8"?>
<worksheet xmlns="http://schemas.openxmlformats.org/spreadsheetml/2006/main" xmlns:r="http://schemas.openxmlformats.org/officeDocument/2006/relationships">
  <sheetPr codeName="Sheet11"/>
  <dimension ref="A1:X111"/>
  <sheetViews>
    <sheetView workbookViewId="0" topLeftCell="A1">
      <selection activeCell="B3" sqref="B3"/>
    </sheetView>
  </sheetViews>
  <sheetFormatPr defaultColWidth="9.140625" defaultRowHeight="12.75"/>
  <cols>
    <col min="1" max="1" width="3.7109375" style="1" customWidth="1"/>
    <col min="2" max="2" width="38.7109375" style="1" customWidth="1"/>
    <col min="3" max="3" width="9.421875" style="1" customWidth="1"/>
    <col min="4" max="4" width="9.7109375" style="1" customWidth="1"/>
    <col min="5" max="5" width="11.140625" style="1" customWidth="1"/>
    <col min="6" max="6" width="10.421875" style="1" customWidth="1"/>
    <col min="7" max="7" width="9.00390625" style="1" customWidth="1"/>
    <col min="8" max="8" width="9.28125" style="1" customWidth="1"/>
    <col min="9" max="9" width="4.8515625" style="1" customWidth="1"/>
    <col min="10" max="10" width="9.8515625" style="1" customWidth="1"/>
    <col min="11" max="11" width="5.421875" style="1" customWidth="1"/>
    <col min="12" max="12" width="4.421875" style="1" customWidth="1"/>
    <col min="13" max="13" width="6.421875" style="1" customWidth="1"/>
    <col min="14" max="14" width="5.57421875" style="1" customWidth="1"/>
    <col min="15" max="15" width="2.8515625" style="1" customWidth="1"/>
    <col min="16" max="16" width="6.28125" style="1" customWidth="1"/>
    <col min="17" max="17" width="6.00390625" style="1" customWidth="1"/>
    <col min="18" max="18" width="5.57421875" style="1" customWidth="1"/>
    <col min="19" max="19" width="5.421875" style="1" customWidth="1"/>
    <col min="20" max="20" width="4.7109375" style="1" customWidth="1"/>
    <col min="21" max="21" width="5.57421875" style="1" customWidth="1"/>
    <col min="22" max="22" width="7.421875" style="53" customWidth="1"/>
    <col min="24" max="24" width="7.8515625" style="1" customWidth="1"/>
    <col min="25" max="16384" width="6.7109375" style="1" customWidth="1"/>
  </cols>
  <sheetData>
    <row r="1" spans="1:19" ht="22.5" customHeight="1">
      <c r="A1" s="8" t="s">
        <v>0</v>
      </c>
      <c r="B1" s="9"/>
      <c r="C1" s="9"/>
      <c r="D1" s="9"/>
      <c r="E1" s="9"/>
      <c r="F1" s="9"/>
      <c r="G1" s="9"/>
      <c r="H1" s="9" t="s">
        <v>127</v>
      </c>
      <c r="I1" s="9"/>
      <c r="J1" s="9"/>
      <c r="K1" s="9"/>
      <c r="L1" s="9"/>
      <c r="M1" s="133"/>
      <c r="N1" s="10"/>
      <c r="O1" s="10"/>
      <c r="P1"/>
      <c r="Q1" s="9"/>
      <c r="R1"/>
      <c r="S1"/>
    </row>
    <row r="2" spans="1:24" ht="14.25" customHeight="1">
      <c r="A2"/>
      <c r="B2" s="7"/>
      <c r="L2"/>
      <c r="P2"/>
      <c r="Q2" s="110"/>
      <c r="R2"/>
      <c r="S2"/>
      <c r="T2"/>
      <c r="U2"/>
      <c r="V2" s="54"/>
      <c r="X2"/>
    </row>
    <row r="3" spans="1:24" ht="15.75" customHeight="1">
      <c r="A3"/>
      <c r="B3"/>
      <c r="C3"/>
      <c r="D3"/>
      <c r="E3" s="98"/>
      <c r="F3" s="2"/>
      <c r="H3" s="23" t="s">
        <v>36</v>
      </c>
      <c r="I3" s="23"/>
      <c r="J3" s="23"/>
      <c r="K3" s="23"/>
      <c r="M3" s="55"/>
      <c r="R3" s="55"/>
      <c r="T3" s="52" t="s">
        <v>27</v>
      </c>
      <c r="U3" s="52" t="s">
        <v>67</v>
      </c>
      <c r="V3" s="58" t="s">
        <v>29</v>
      </c>
      <c r="X3" s="57"/>
    </row>
    <row r="4" spans="1:24" ht="16.5" customHeight="1">
      <c r="A4" s="12" t="s">
        <v>4</v>
      </c>
      <c r="B4"/>
      <c r="D4"/>
      <c r="E4"/>
      <c r="G4" s="130" t="s">
        <v>101</v>
      </c>
      <c r="H4" s="79">
        <v>86.6</v>
      </c>
      <c r="J4" s="56" t="s">
        <v>65</v>
      </c>
      <c r="K4" s="55">
        <f>(H4/100)^2+1</f>
        <v>1.749956</v>
      </c>
      <c r="M4" s="56" t="s">
        <v>105</v>
      </c>
      <c r="N4" s="55">
        <f>0.25*(K4+(1-2*C6)^2*K5+2*(1-2*C6)+2*K6*(1-2*C6)*SQRT((K4-1)*(K5-1)))/(1-C6)^2</f>
        <v>1.2226431875</v>
      </c>
      <c r="P4" s="56" t="s">
        <v>28</v>
      </c>
      <c r="Q4" s="55">
        <f>N4*(1+SQRT(1-1/N4))</f>
        <v>1.7443837134706783</v>
      </c>
      <c r="T4">
        <v>1</v>
      </c>
      <c r="U4">
        <f aca="true" t="shared" si="0" ref="U4:U35">T4/100</f>
        <v>0.01</v>
      </c>
      <c r="V4" s="54">
        <f aca="true" t="shared" si="1" ref="V4:V9">U4^$Q$4</f>
        <v>0.00032451335397603096</v>
      </c>
      <c r="X4"/>
    </row>
    <row r="5" spans="1:24" ht="15.75">
      <c r="A5"/>
      <c r="B5" s="73" t="s">
        <v>60</v>
      </c>
      <c r="C5" s="74">
        <v>40</v>
      </c>
      <c r="D5" s="130" t="s">
        <v>63</v>
      </c>
      <c r="E5" s="45">
        <v>-1</v>
      </c>
      <c r="G5" s="130" t="s">
        <v>102</v>
      </c>
      <c r="H5" s="79">
        <v>86.6</v>
      </c>
      <c r="J5" s="56" t="s">
        <v>66</v>
      </c>
      <c r="K5" s="55">
        <f>(H5/100)^2+1</f>
        <v>1.749956</v>
      </c>
      <c r="R5" s="51"/>
      <c r="S5"/>
      <c r="T5">
        <v>2</v>
      </c>
      <c r="U5">
        <f t="shared" si="0"/>
        <v>0.02</v>
      </c>
      <c r="V5" s="54">
        <f t="shared" si="1"/>
        <v>0.0010872874989152454</v>
      </c>
      <c r="X5"/>
    </row>
    <row r="6" spans="2:24" ht="13.5">
      <c r="B6" s="130" t="s">
        <v>62</v>
      </c>
      <c r="C6" s="75">
        <f>(C5/100)/2</f>
        <v>0.2</v>
      </c>
      <c r="D6" s="130" t="s">
        <v>64</v>
      </c>
      <c r="E6" s="37">
        <f>C6*E5</f>
        <v>-0.2</v>
      </c>
      <c r="G6" s="129" t="s">
        <v>100</v>
      </c>
      <c r="H6" s="136">
        <v>1</v>
      </c>
      <c r="J6" s="97" t="s">
        <v>75</v>
      </c>
      <c r="K6" s="134">
        <v>-0.5</v>
      </c>
      <c r="N6" s="5"/>
      <c r="O6" s="5"/>
      <c r="Q6" s="97"/>
      <c r="R6"/>
      <c r="S6"/>
      <c r="T6">
        <v>3</v>
      </c>
      <c r="U6">
        <f t="shared" si="0"/>
        <v>0.03</v>
      </c>
      <c r="V6" s="54">
        <f t="shared" si="1"/>
        <v>0.0022055409167985964</v>
      </c>
      <c r="X6"/>
    </row>
    <row r="7" spans="2:24" ht="15.75" customHeight="1">
      <c r="B7" s="73" t="s">
        <v>61</v>
      </c>
      <c r="C7" s="2">
        <f>(1-C6)^2</f>
        <v>0.6400000000000001</v>
      </c>
      <c r="D7" s="139" t="s">
        <v>5</v>
      </c>
      <c r="E7" s="126"/>
      <c r="F7" s="127"/>
      <c r="G7" s="128"/>
      <c r="H7" s="164"/>
      <c r="I7" s="162" t="s">
        <v>59</v>
      </c>
      <c r="J7" s="163"/>
      <c r="K7" s="160"/>
      <c r="L7" s="113"/>
      <c r="M7" s="115"/>
      <c r="N7" s="158"/>
      <c r="O7" s="115"/>
      <c r="P7" s="113"/>
      <c r="Q7" s="113"/>
      <c r="R7" s="14"/>
      <c r="S7" s="14"/>
      <c r="T7">
        <v>4</v>
      </c>
      <c r="U7">
        <f t="shared" si="0"/>
        <v>0.04</v>
      </c>
      <c r="V7" s="54">
        <f t="shared" si="1"/>
        <v>0.0036429752144643275</v>
      </c>
      <c r="X7"/>
    </row>
    <row r="8" spans="1:24" ht="33.75" customHeight="1" thickBot="1">
      <c r="A8" s="125"/>
      <c r="B8" s="148" t="s">
        <v>7</v>
      </c>
      <c r="C8" s="145" t="s">
        <v>74</v>
      </c>
      <c r="D8" s="141" t="s">
        <v>69</v>
      </c>
      <c r="E8" s="142" t="s">
        <v>70</v>
      </c>
      <c r="F8" s="142" t="s">
        <v>71</v>
      </c>
      <c r="G8" s="143" t="s">
        <v>72</v>
      </c>
      <c r="H8" s="146" t="s">
        <v>73</v>
      </c>
      <c r="I8" s="147"/>
      <c r="J8" s="141" t="s">
        <v>9</v>
      </c>
      <c r="K8" s="161"/>
      <c r="L8" s="13"/>
      <c r="M8" s="159"/>
      <c r="N8" s="113"/>
      <c r="O8" s="113"/>
      <c r="P8" s="113"/>
      <c r="Q8" s="113"/>
      <c r="R8" s="46"/>
      <c r="S8" s="50"/>
      <c r="T8">
        <v>5</v>
      </c>
      <c r="U8">
        <f t="shared" si="0"/>
        <v>0.05</v>
      </c>
      <c r="V8" s="54">
        <f t="shared" si="1"/>
        <v>0.005376559605433223</v>
      </c>
      <c r="X8"/>
    </row>
    <row r="9" spans="1:24" s="13" customFormat="1" ht="12.75">
      <c r="A9" s="21" t="s">
        <v>11</v>
      </c>
      <c r="B9" s="22"/>
      <c r="C9" s="26">
        <v>100</v>
      </c>
      <c r="D9" s="28">
        <f>0.5/J9</f>
        <v>127.7968925009857</v>
      </c>
      <c r="E9" s="28">
        <f>N$4/(2*J9*(N$4-1))</f>
        <v>701.7955579709802</v>
      </c>
      <c r="F9" s="60">
        <f>1-(1/(2*D9))</f>
        <v>0.9960875418</v>
      </c>
      <c r="G9" s="29">
        <f>(1-$C$6)*H9*$H$6+$E$6</f>
        <v>-0.2</v>
      </c>
      <c r="H9" s="76">
        <v>0</v>
      </c>
      <c r="I9" s="76"/>
      <c r="J9" s="72">
        <f>(0.5*N4*C$7)/C9</f>
        <v>0.0039124582</v>
      </c>
      <c r="K9" s="76"/>
      <c r="M9" s="44"/>
      <c r="N9" s="44"/>
      <c r="O9" s="44"/>
      <c r="P9" s="14"/>
      <c r="Q9" s="14"/>
      <c r="R9" s="2"/>
      <c r="T9">
        <v>6</v>
      </c>
      <c r="U9">
        <f t="shared" si="0"/>
        <v>0.06</v>
      </c>
      <c r="V9" s="54">
        <f t="shared" si="1"/>
        <v>0.007389702265868256</v>
      </c>
      <c r="X9"/>
    </row>
    <row r="10" spans="1:24" s="108" customFormat="1" ht="12.75">
      <c r="A10" s="99"/>
      <c r="B10" s="100" t="s">
        <v>56</v>
      </c>
      <c r="C10" s="101"/>
      <c r="D10" s="102"/>
      <c r="E10" s="102"/>
      <c r="F10" s="103"/>
      <c r="G10" s="104"/>
      <c r="H10" s="43"/>
      <c r="I10" s="43"/>
      <c r="J10" s="106"/>
      <c r="K10" s="43"/>
      <c r="M10" s="105"/>
      <c r="N10" s="105"/>
      <c r="O10" s="105"/>
      <c r="P10" s="107"/>
      <c r="Q10" s="107"/>
      <c r="R10" s="75"/>
      <c r="T10">
        <v>7</v>
      </c>
      <c r="U10">
        <f t="shared" si="0"/>
        <v>0.07</v>
      </c>
      <c r="V10" s="54">
        <f aca="true" t="shared" si="2" ref="V10:V41">U10^$Q$4</f>
        <v>0.009669584887491197</v>
      </c>
      <c r="X10" s="109"/>
    </row>
    <row r="11" spans="1:24" s="13" customFormat="1" ht="12.75">
      <c r="A11" s="15" t="s">
        <v>12</v>
      </c>
      <c r="B11" s="14"/>
      <c r="C11" s="14"/>
      <c r="D11" s="32"/>
      <c r="E11" s="32"/>
      <c r="F11" s="32"/>
      <c r="G11" s="33"/>
      <c r="H11" s="37"/>
      <c r="I11" s="37"/>
      <c r="J11" s="68"/>
      <c r="K11" s="37"/>
      <c r="M11" s="40"/>
      <c r="N11" s="40"/>
      <c r="O11" s="14"/>
      <c r="P11" s="14"/>
      <c r="Q11" s="14"/>
      <c r="R11" s="2"/>
      <c r="T11">
        <v>8</v>
      </c>
      <c r="U11">
        <f t="shared" si="0"/>
        <v>0.08</v>
      </c>
      <c r="V11" s="54">
        <f t="shared" si="2"/>
        <v>0.01220585027091892</v>
      </c>
      <c r="X11"/>
    </row>
    <row r="12" spans="1:24" s="13" customFormat="1" ht="12.75">
      <c r="A12" s="15"/>
      <c r="B12" s="14" t="s">
        <v>13</v>
      </c>
      <c r="C12" s="17">
        <v>50</v>
      </c>
      <c r="D12" s="30">
        <f>0.5/J12</f>
        <v>91.89888898947287</v>
      </c>
      <c r="E12" s="49">
        <f>N$4/(2*J12*(N$4-1))</f>
        <v>504.66197427126673</v>
      </c>
      <c r="F12" s="59">
        <f>1-(1/(2*D12))</f>
        <v>0.994559237815625</v>
      </c>
      <c r="G12" s="31">
        <f>H12*$H$6/2+$E$6</f>
        <v>0.1958400172807508</v>
      </c>
      <c r="H12" s="77">
        <f>SelBurr(C12,$C$9)</f>
        <v>0.7916800345615016</v>
      </c>
      <c r="I12" s="77"/>
      <c r="J12" s="71">
        <f>(N4*(C9+(1-2*C6)*(3-2*C6)*C12))/(8*C9*C12)</f>
        <v>0.005440762184375</v>
      </c>
      <c r="K12" s="77"/>
      <c r="M12" s="40"/>
      <c r="N12" s="40"/>
      <c r="O12" s="14"/>
      <c r="P12" s="14"/>
      <c r="Q12" s="14"/>
      <c r="R12" s="46"/>
      <c r="T12">
        <v>9</v>
      </c>
      <c r="U12">
        <f t="shared" si="0"/>
        <v>0.09</v>
      </c>
      <c r="V12" s="54">
        <f t="shared" si="2"/>
        <v>0.014989863055164402</v>
      </c>
      <c r="X12"/>
    </row>
    <row r="13" spans="1:24" s="13" customFormat="1" ht="12.75">
      <c r="A13" s="15" t="s">
        <v>14</v>
      </c>
      <c r="B13" s="14"/>
      <c r="C13" s="18"/>
      <c r="D13" s="32"/>
      <c r="E13" s="32"/>
      <c r="F13" s="32"/>
      <c r="G13" s="33"/>
      <c r="H13" s="77"/>
      <c r="I13" s="77"/>
      <c r="J13" s="69"/>
      <c r="K13" s="77"/>
      <c r="M13" s="40"/>
      <c r="N13" s="40"/>
      <c r="O13" s="14"/>
      <c r="P13" s="14"/>
      <c r="Q13" s="14"/>
      <c r="R13" s="2"/>
      <c r="T13">
        <v>10</v>
      </c>
      <c r="U13">
        <f t="shared" si="0"/>
        <v>0.1</v>
      </c>
      <c r="V13" s="54">
        <f t="shared" si="2"/>
        <v>0.018014254188725966</v>
      </c>
      <c r="X13"/>
    </row>
    <row r="14" spans="1:24" s="13" customFormat="1" ht="12.75">
      <c r="A14" s="15"/>
      <c r="B14" s="14" t="s">
        <v>15</v>
      </c>
      <c r="C14" s="17">
        <v>50</v>
      </c>
      <c r="D14" s="30">
        <f>0.5/J14</f>
        <v>63.89844625049285</v>
      </c>
      <c r="E14" s="49">
        <f>N$4/(2*J14*(N$4-1))</f>
        <v>350.8977789854901</v>
      </c>
      <c r="F14" s="59">
        <f>1-(1/(2*D14))</f>
        <v>0.9921750836</v>
      </c>
      <c r="G14" s="31">
        <f>(1-$C$6)*H14*$H$6+$E$6</f>
        <v>0.43334402764920127</v>
      </c>
      <c r="H14" s="77">
        <f>SelBurr(C14,$C$9)</f>
        <v>0.7916800345615016</v>
      </c>
      <c r="I14" s="77"/>
      <c r="J14" s="71">
        <f>(0.5*N4*C$7)/C14</f>
        <v>0.0078249164</v>
      </c>
      <c r="K14" s="77"/>
      <c r="M14" s="44"/>
      <c r="N14" s="40"/>
      <c r="O14" s="14"/>
      <c r="P14" s="14"/>
      <c r="Q14" s="14"/>
      <c r="R14" s="46"/>
      <c r="T14">
        <v>11</v>
      </c>
      <c r="U14">
        <f t="shared" si="0"/>
        <v>0.11</v>
      </c>
      <c r="V14" s="54">
        <f t="shared" si="2"/>
        <v>0.02127262147738371</v>
      </c>
      <c r="X14"/>
    </row>
    <row r="15" spans="1:24" s="13" customFormat="1" ht="12.75">
      <c r="A15" s="15" t="s">
        <v>37</v>
      </c>
      <c r="B15" s="14"/>
      <c r="C15" s="18"/>
      <c r="D15" s="32"/>
      <c r="E15" s="32"/>
      <c r="F15" s="32"/>
      <c r="G15" s="33"/>
      <c r="H15" s="77"/>
      <c r="I15" s="77"/>
      <c r="J15" s="69"/>
      <c r="K15" s="77"/>
      <c r="M15" s="40"/>
      <c r="N15" s="40"/>
      <c r="O15" s="14"/>
      <c r="P15" s="14"/>
      <c r="Q15" s="14"/>
      <c r="R15" s="2"/>
      <c r="T15">
        <v>12</v>
      </c>
      <c r="U15">
        <f t="shared" si="0"/>
        <v>0.12</v>
      </c>
      <c r="V15" s="54">
        <f t="shared" si="2"/>
        <v>0.02475932283198946</v>
      </c>
      <c r="X15"/>
    </row>
    <row r="16" spans="1:24" s="13" customFormat="1" ht="12.75">
      <c r="A16" s="39"/>
      <c r="B16" s="40" t="s">
        <v>16</v>
      </c>
      <c r="C16" s="41">
        <v>50</v>
      </c>
      <c r="D16" s="42"/>
      <c r="E16" s="42"/>
      <c r="F16" s="42"/>
      <c r="G16" s="43"/>
      <c r="H16" s="78">
        <f>SelBurr(C16,$C$9)</f>
        <v>0.7916800345615016</v>
      </c>
      <c r="I16" s="78"/>
      <c r="J16" s="69"/>
      <c r="K16" s="78"/>
      <c r="M16" s="40"/>
      <c r="N16" s="40"/>
      <c r="O16" s="40"/>
      <c r="P16" s="40"/>
      <c r="Q16" s="40"/>
      <c r="R16" s="47"/>
      <c r="T16">
        <v>13</v>
      </c>
      <c r="U16">
        <f t="shared" si="0"/>
        <v>0.13</v>
      </c>
      <c r="V16" s="54">
        <f t="shared" si="2"/>
        <v>0.028469327903171728</v>
      </c>
      <c r="X16"/>
    </row>
    <row r="17" spans="1:24" ht="12.75">
      <c r="A17" s="15"/>
      <c r="B17" s="14" t="s">
        <v>17</v>
      </c>
      <c r="C17" s="17">
        <v>20</v>
      </c>
      <c r="D17" s="32"/>
      <c r="E17" s="32"/>
      <c r="F17" s="32"/>
      <c r="G17" s="34"/>
      <c r="H17" s="77">
        <f>SelBurr(C17,$C$9)</f>
        <v>1.3856634194300153</v>
      </c>
      <c r="I17" s="77"/>
      <c r="J17" s="69"/>
      <c r="K17" s="77"/>
      <c r="L17" s="13"/>
      <c r="M17" s="40"/>
      <c r="N17" s="40"/>
      <c r="O17" s="14"/>
      <c r="P17" s="14"/>
      <c r="Q17" s="14"/>
      <c r="R17" s="2"/>
      <c r="T17">
        <v>14</v>
      </c>
      <c r="U17">
        <f t="shared" si="0"/>
        <v>0.14</v>
      </c>
      <c r="V17" s="54">
        <f t="shared" si="2"/>
        <v>0.032398108241319105</v>
      </c>
      <c r="X17"/>
    </row>
    <row r="18" spans="1:24" ht="12.75">
      <c r="A18" s="15"/>
      <c r="B18" s="14" t="s">
        <v>18</v>
      </c>
      <c r="C18" s="19"/>
      <c r="D18" s="30">
        <f>0.5/J18</f>
        <v>40.290645911640816</v>
      </c>
      <c r="E18" s="49">
        <f>N$4/(2*J18*(N$4-1))</f>
        <v>221.25574241449624</v>
      </c>
      <c r="F18" s="59">
        <f>1-(1/(2*D18))</f>
        <v>0.987590171646875</v>
      </c>
      <c r="G18" s="31">
        <f>(H17+(1-2*$C$6)*H16)*$H$6/2+$E$6</f>
        <v>0.7303357200834582</v>
      </c>
      <c r="H18" s="77"/>
      <c r="I18" s="77"/>
      <c r="J18" s="71">
        <f>N4*(C16+(1-2*C6)*(3-2*C6)*C17)/(8*C16*C17)</f>
        <v>0.012409828353125</v>
      </c>
      <c r="K18" s="77"/>
      <c r="L18" s="13"/>
      <c r="M18" s="13"/>
      <c r="N18" s="40"/>
      <c r="O18" s="14"/>
      <c r="P18" s="14"/>
      <c r="Q18" s="14"/>
      <c r="R18" s="46"/>
      <c r="T18">
        <v>15</v>
      </c>
      <c r="U18">
        <f t="shared" si="0"/>
        <v>0.15</v>
      </c>
      <c r="V18" s="54">
        <f t="shared" si="2"/>
        <v>0.03654155385625629</v>
      </c>
      <c r="X18"/>
    </row>
    <row r="19" spans="1:22" ht="12.75">
      <c r="A19" s="15" t="s">
        <v>19</v>
      </c>
      <c r="C19" s="18"/>
      <c r="D19" s="32"/>
      <c r="E19" s="32"/>
      <c r="F19" s="32"/>
      <c r="G19" s="35"/>
      <c r="H19" s="77"/>
      <c r="I19" s="77"/>
      <c r="J19" s="69"/>
      <c r="K19" s="77"/>
      <c r="L19" s="13"/>
      <c r="M19" s="44"/>
      <c r="N19" s="44"/>
      <c r="R19" s="16"/>
      <c r="T19">
        <v>16</v>
      </c>
      <c r="U19">
        <f t="shared" si="0"/>
        <v>0.16</v>
      </c>
      <c r="V19" s="54">
        <f t="shared" si="2"/>
        <v>0.040895908444438446</v>
      </c>
    </row>
    <row r="20" spans="1:22" ht="12.75">
      <c r="A20" s="15"/>
      <c r="B20" s="25" t="s">
        <v>20</v>
      </c>
      <c r="C20" s="27">
        <v>100</v>
      </c>
      <c r="D20" s="32"/>
      <c r="E20" s="32"/>
      <c r="F20" s="32"/>
      <c r="G20" s="35"/>
      <c r="H20" s="77"/>
      <c r="I20" s="77"/>
      <c r="J20" s="68"/>
      <c r="K20" s="77"/>
      <c r="L20" s="13"/>
      <c r="M20" s="44"/>
      <c r="N20" s="44"/>
      <c r="R20" s="16"/>
      <c r="T20">
        <v>17</v>
      </c>
      <c r="U20">
        <f t="shared" si="0"/>
        <v>0.17</v>
      </c>
      <c r="V20" s="54">
        <f t="shared" si="2"/>
        <v>0.04545771817069568</v>
      </c>
    </row>
    <row r="21" spans="1:22" ht="12.75">
      <c r="A21" s="66"/>
      <c r="B21" s="14" t="s">
        <v>21</v>
      </c>
      <c r="C21" s="17">
        <v>30</v>
      </c>
      <c r="D21" s="32"/>
      <c r="E21" s="32"/>
      <c r="F21" s="32"/>
      <c r="G21" s="34"/>
      <c r="H21" s="77">
        <f>SelBurr(C21,$C$20)</f>
        <v>1.149008676801621</v>
      </c>
      <c r="I21" s="77"/>
      <c r="J21" s="69"/>
      <c r="K21" s="77"/>
      <c r="L21" s="13"/>
      <c r="M21" s="44"/>
      <c r="N21" s="44"/>
      <c r="R21" s="16"/>
      <c r="T21">
        <v>18</v>
      </c>
      <c r="U21">
        <f t="shared" si="0"/>
        <v>0.18</v>
      </c>
      <c r="V21" s="54">
        <f t="shared" si="2"/>
        <v>0.05022379051783357</v>
      </c>
    </row>
    <row r="22" spans="1:22" ht="12.75">
      <c r="A22" s="66"/>
      <c r="B22" s="14" t="s">
        <v>22</v>
      </c>
      <c r="C22" s="17">
        <v>20</v>
      </c>
      <c r="D22" s="32"/>
      <c r="E22" s="32"/>
      <c r="F22" s="32"/>
      <c r="G22" s="34"/>
      <c r="H22" s="77">
        <f>SelBurr(C22,$C$20)</f>
        <v>1.3856634194300153</v>
      </c>
      <c r="I22" s="77"/>
      <c r="J22" s="69"/>
      <c r="K22" s="77"/>
      <c r="L22" s="13"/>
      <c r="M22" s="44"/>
      <c r="N22" s="44"/>
      <c r="R22" s="16"/>
      <c r="T22">
        <v>19</v>
      </c>
      <c r="U22">
        <f t="shared" si="0"/>
        <v>0.19</v>
      </c>
      <c r="V22" s="54">
        <f t="shared" si="2"/>
        <v>0.05519116076268661</v>
      </c>
    </row>
    <row r="23" spans="1:22" ht="12.75">
      <c r="A23" s="66"/>
      <c r="B23" s="14" t="s">
        <v>23</v>
      </c>
      <c r="C23" s="67">
        <v>10</v>
      </c>
      <c r="D23" s="32"/>
      <c r="E23" s="32"/>
      <c r="F23" s="32"/>
      <c r="G23" s="36"/>
      <c r="H23" s="20"/>
      <c r="I23" s="20"/>
      <c r="J23" s="69"/>
      <c r="K23" s="20"/>
      <c r="L23" s="13"/>
      <c r="M23" s="44"/>
      <c r="N23" s="44"/>
      <c r="R23" s="16"/>
      <c r="T23">
        <v>20</v>
      </c>
      <c r="U23">
        <f t="shared" si="0"/>
        <v>0.2</v>
      </c>
      <c r="V23" s="54">
        <f t="shared" si="2"/>
        <v>0.060357064329408266</v>
      </c>
    </row>
    <row r="24" spans="1:22" ht="13.5" thickBot="1">
      <c r="A24" s="117"/>
      <c r="B24" s="118" t="s">
        <v>18</v>
      </c>
      <c r="C24" s="119">
        <f>C21+(C22-C23)</f>
        <v>40</v>
      </c>
      <c r="D24" s="120">
        <f>0.5/J24</f>
        <v>39.89756643933212</v>
      </c>
      <c r="E24" s="120">
        <f>N$4/(2*J24*(N$4-1))</f>
        <v>219.0971498055743</v>
      </c>
      <c r="F24" s="121">
        <f>1-(1/(2*D24))</f>
        <v>0.987467907328125</v>
      </c>
      <c r="G24" s="122">
        <f>(H22+(1-2*$C$6)*H21)*$H$6/2+$E$6</f>
        <v>0.837534312755494</v>
      </c>
      <c r="H24" s="123"/>
      <c r="I24" s="123"/>
      <c r="J24" s="124">
        <f>N4*(C21+(1-2*C6)^2*C22+2*(1-2*C6)*C23)/(8*C21*C22)</f>
        <v>0.012532092671875</v>
      </c>
      <c r="K24" s="123"/>
      <c r="L24" s="13"/>
      <c r="M24" s="44"/>
      <c r="N24" s="44"/>
      <c r="R24" s="16"/>
      <c r="T24">
        <v>21</v>
      </c>
      <c r="U24">
        <f t="shared" si="0"/>
        <v>0.21</v>
      </c>
      <c r="V24" s="54">
        <f t="shared" si="2"/>
        <v>0.0657189137412028</v>
      </c>
    </row>
    <row r="25" spans="1:22" ht="12.75">
      <c r="A25" s="66"/>
      <c r="C25" s="16"/>
      <c r="H25" s="20"/>
      <c r="I25" s="20"/>
      <c r="J25" s="20"/>
      <c r="K25" s="20"/>
      <c r="R25" s="46"/>
      <c r="T25">
        <v>22</v>
      </c>
      <c r="U25">
        <f t="shared" si="0"/>
        <v>0.22</v>
      </c>
      <c r="V25" s="54">
        <f t="shared" si="2"/>
        <v>0.0712742792187949</v>
      </c>
    </row>
    <row r="26" spans="1:24" s="13" customFormat="1" ht="12" customHeight="1">
      <c r="A26" s="64"/>
      <c r="B26" s="44"/>
      <c r="C26" s="44"/>
      <c r="D26"/>
      <c r="E26"/>
      <c r="F26"/>
      <c r="G26"/>
      <c r="H26" s="44"/>
      <c r="I26" s="44"/>
      <c r="J26" s="44"/>
      <c r="K26" s="44"/>
      <c r="L26" s="44"/>
      <c r="M26" s="44"/>
      <c r="N26" s="44"/>
      <c r="O26" s="44"/>
      <c r="P26" s="44"/>
      <c r="Q26" s="44"/>
      <c r="R26" s="44"/>
      <c r="S26" s="44"/>
      <c r="T26">
        <v>23</v>
      </c>
      <c r="U26">
        <f t="shared" si="0"/>
        <v>0.23</v>
      </c>
      <c r="V26" s="54">
        <f t="shared" si="2"/>
        <v>0.07702087220601636</v>
      </c>
      <c r="X26"/>
    </row>
    <row r="27" spans="1:24" ht="12.75">
      <c r="A27" s="64"/>
      <c r="B27" s="44"/>
      <c r="C27" s="44"/>
      <c r="D27"/>
      <c r="E27"/>
      <c r="F27"/>
      <c r="G27"/>
      <c r="H27" s="44"/>
      <c r="I27" s="44"/>
      <c r="J27" s="44"/>
      <c r="K27" s="44"/>
      <c r="L27" s="44"/>
      <c r="M27" s="44"/>
      <c r="N27" s="44"/>
      <c r="O27" s="44"/>
      <c r="P27" s="44"/>
      <c r="Q27" s="44"/>
      <c r="R27"/>
      <c r="S27"/>
      <c r="T27">
        <v>24</v>
      </c>
      <c r="U27">
        <f t="shared" si="0"/>
        <v>0.24</v>
      </c>
      <c r="V27" s="54">
        <f t="shared" si="2"/>
        <v>0.08295653127056622</v>
      </c>
      <c r="X27"/>
    </row>
    <row r="28" spans="1:24" ht="12.75">
      <c r="A28" s="66"/>
      <c r="B28"/>
      <c r="C28" s="48"/>
      <c r="D28"/>
      <c r="E28"/>
      <c r="F28"/>
      <c r="G28"/>
      <c r="H28"/>
      <c r="I28"/>
      <c r="J28"/>
      <c r="K28"/>
      <c r="L28"/>
      <c r="M28"/>
      <c r="N28"/>
      <c r="O28"/>
      <c r="P28"/>
      <c r="Q28"/>
      <c r="R28"/>
      <c r="S28"/>
      <c r="T28">
        <v>25</v>
      </c>
      <c r="U28">
        <f t="shared" si="0"/>
        <v>0.25</v>
      </c>
      <c r="V28" s="54">
        <f t="shared" si="2"/>
        <v>0.08907920995113008</v>
      </c>
      <c r="X28"/>
    </row>
    <row r="29" spans="1:24" ht="12.75">
      <c r="A29" s="65"/>
      <c r="B29"/>
      <c r="C29"/>
      <c r="D29"/>
      <c r="E29"/>
      <c r="F29"/>
      <c r="G29"/>
      <c r="H29"/>
      <c r="I29"/>
      <c r="J29"/>
      <c r="K29"/>
      <c r="L29"/>
      <c r="M29"/>
      <c r="N29"/>
      <c r="O29"/>
      <c r="P29"/>
      <c r="Q29"/>
      <c r="R29"/>
      <c r="S29"/>
      <c r="T29">
        <v>26</v>
      </c>
      <c r="U29">
        <f t="shared" si="0"/>
        <v>0.26</v>
      </c>
      <c r="V29" s="54">
        <f t="shared" si="2"/>
        <v>0.09538696621379694</v>
      </c>
      <c r="X29"/>
    </row>
    <row r="30" spans="1:24" ht="12.75">
      <c r="A30" s="65"/>
      <c r="B30"/>
      <c r="C30"/>
      <c r="D30"/>
      <c r="E30"/>
      <c r="F30"/>
      <c r="G30"/>
      <c r="H30"/>
      <c r="I30"/>
      <c r="J30"/>
      <c r="K30"/>
      <c r="L30" s="44"/>
      <c r="M30" s="14"/>
      <c r="N30" s="44"/>
      <c r="O30" s="44"/>
      <c r="P30" s="44"/>
      <c r="Q30" s="44"/>
      <c r="R30"/>
      <c r="S30"/>
      <c r="T30">
        <v>27</v>
      </c>
      <c r="U30">
        <f t="shared" si="0"/>
        <v>0.27</v>
      </c>
      <c r="V30" s="54">
        <f t="shared" si="2"/>
        <v>0.10187795325000606</v>
      </c>
      <c r="X30"/>
    </row>
    <row r="31" spans="1:24" ht="12.75">
      <c r="A31" s="65"/>
      <c r="B31"/>
      <c r="C31"/>
      <c r="D31"/>
      <c r="E31"/>
      <c r="F31"/>
      <c r="G31"/>
      <c r="H31"/>
      <c r="I31"/>
      <c r="J31"/>
      <c r="K31"/>
      <c r="L31"/>
      <c r="M31" s="44"/>
      <c r="N31"/>
      <c r="O31"/>
      <c r="P31"/>
      <c r="Q31"/>
      <c r="R31"/>
      <c r="S31"/>
      <c r="T31">
        <v>28</v>
      </c>
      <c r="U31">
        <f t="shared" si="0"/>
        <v>0.28</v>
      </c>
      <c r="V31" s="54">
        <f t="shared" si="2"/>
        <v>0.10855041140122416</v>
      </c>
      <c r="X31"/>
    </row>
    <row r="32" spans="1:24" ht="12.75">
      <c r="A32" s="65"/>
      <c r="B32"/>
      <c r="C32"/>
      <c r="D32"/>
      <c r="E32"/>
      <c r="F32"/>
      <c r="G32"/>
      <c r="H32"/>
      <c r="I32"/>
      <c r="J32"/>
      <c r="K32"/>
      <c r="L32"/>
      <c r="M32" s="44"/>
      <c r="N32"/>
      <c r="O32"/>
      <c r="P32"/>
      <c r="Q32"/>
      <c r="R32"/>
      <c r="S32"/>
      <c r="T32">
        <v>29</v>
      </c>
      <c r="U32">
        <f t="shared" si="0"/>
        <v>0.29</v>
      </c>
      <c r="V32" s="54">
        <f t="shared" si="2"/>
        <v>0.11540266103650053</v>
      </c>
      <c r="X32"/>
    </row>
    <row r="33" spans="1:24" ht="12.75">
      <c r="A33"/>
      <c r="B33"/>
      <c r="C33"/>
      <c r="D33"/>
      <c r="E33"/>
      <c r="F33"/>
      <c r="G33"/>
      <c r="H33"/>
      <c r="I33"/>
      <c r="J33"/>
      <c r="K33"/>
      <c r="L33"/>
      <c r="M33" s="44"/>
      <c r="N33"/>
      <c r="O33"/>
      <c r="P33"/>
      <c r="Q33" s="44"/>
      <c r="R33"/>
      <c r="S33"/>
      <c r="T33">
        <v>30</v>
      </c>
      <c r="U33">
        <f t="shared" si="0"/>
        <v>0.3</v>
      </c>
      <c r="V33" s="54">
        <f t="shared" si="2"/>
        <v>0.12243309624102627</v>
      </c>
      <c r="X33"/>
    </row>
    <row r="34" spans="1:24" ht="12.75" customHeight="1">
      <c r="A34"/>
      <c r="B34"/>
      <c r="C34"/>
      <c r="D34"/>
      <c r="E34"/>
      <c r="F34"/>
      <c r="G34"/>
      <c r="H34"/>
      <c r="I34"/>
      <c r="J34"/>
      <c r="K34"/>
      <c r="L34"/>
      <c r="M34"/>
      <c r="N34"/>
      <c r="O34"/>
      <c r="P34"/>
      <c r="Q34"/>
      <c r="R34"/>
      <c r="S34"/>
      <c r="T34">
        <v>31</v>
      </c>
      <c r="U34">
        <f t="shared" si="0"/>
        <v>0.31</v>
      </c>
      <c r="V34" s="54">
        <f t="shared" si="2"/>
        <v>0.12964017919903556</v>
      </c>
      <c r="X34"/>
    </row>
    <row r="35" spans="1:24" ht="12.75">
      <c r="A35"/>
      <c r="B35"/>
      <c r="C35"/>
      <c r="D35"/>
      <c r="E35"/>
      <c r="F35"/>
      <c r="G35"/>
      <c r="H35"/>
      <c r="I35"/>
      <c r="J35"/>
      <c r="K35"/>
      <c r="L35"/>
      <c r="M35"/>
      <c r="N35"/>
      <c r="O35"/>
      <c r="P35"/>
      <c r="Q35"/>
      <c r="R35"/>
      <c r="S35"/>
      <c r="T35">
        <v>32</v>
      </c>
      <c r="U35">
        <f t="shared" si="0"/>
        <v>0.32</v>
      </c>
      <c r="V35" s="54">
        <f t="shared" si="2"/>
        <v>0.1370224351744386</v>
      </c>
      <c r="X35"/>
    </row>
    <row r="36" spans="1:24" ht="12.75">
      <c r="A36"/>
      <c r="B36"/>
      <c r="C36"/>
      <c r="D36"/>
      <c r="E36"/>
      <c r="F36"/>
      <c r="G36"/>
      <c r="H36"/>
      <c r="I36"/>
      <c r="J36"/>
      <c r="K36"/>
      <c r="L36"/>
      <c r="M36"/>
      <c r="N36"/>
      <c r="O36"/>
      <c r="P36"/>
      <c r="Q36"/>
      <c r="R36"/>
      <c r="S36"/>
      <c r="T36">
        <v>33</v>
      </c>
      <c r="U36">
        <f aca="true" t="shared" si="3" ref="U36:U67">T36/100</f>
        <v>0.33</v>
      </c>
      <c r="V36" s="54">
        <f t="shared" si="2"/>
        <v>0.14457844800865674</v>
      </c>
      <c r="X36"/>
    </row>
    <row r="37" spans="1:24" ht="12.75">
      <c r="A37"/>
      <c r="B37"/>
      <c r="C37"/>
      <c r="D37"/>
      <c r="E37"/>
      <c r="F37"/>
      <c r="G37"/>
      <c r="H37"/>
      <c r="I37"/>
      <c r="J37"/>
      <c r="K37"/>
      <c r="L37"/>
      <c r="M37"/>
      <c r="N37"/>
      <c r="O37"/>
      <c r="P37"/>
      <c r="Q37"/>
      <c r="R37"/>
      <c r="S37"/>
      <c r="T37">
        <v>34</v>
      </c>
      <c r="U37">
        <f t="shared" si="3"/>
        <v>0.34</v>
      </c>
      <c r="V37" s="54">
        <f t="shared" si="2"/>
        <v>0.1523068560681188</v>
      </c>
      <c r="X37"/>
    </row>
    <row r="38" spans="1:24" ht="12.75">
      <c r="A38"/>
      <c r="B38"/>
      <c r="C38"/>
      <c r="D38"/>
      <c r="E38"/>
      <c r="F38"/>
      <c r="G38"/>
      <c r="H38"/>
      <c r="I38"/>
      <c r="J38"/>
      <c r="K38"/>
      <c r="L38"/>
      <c r="M38"/>
      <c r="N38"/>
      <c r="O38"/>
      <c r="P38"/>
      <c r="Q38"/>
      <c r="R38"/>
      <c r="S38"/>
      <c r="T38">
        <v>35</v>
      </c>
      <c r="U38">
        <f t="shared" si="3"/>
        <v>0.35</v>
      </c>
      <c r="V38" s="54">
        <f t="shared" si="2"/>
        <v>0.16020634858444896</v>
      </c>
      <c r="X38"/>
    </row>
    <row r="39" spans="1:24" ht="12.75">
      <c r="A39"/>
      <c r="B39"/>
      <c r="C39"/>
      <c r="D39"/>
      <c r="E39"/>
      <c r="F39"/>
      <c r="G39"/>
      <c r="H39"/>
      <c r="I39"/>
      <c r="J39"/>
      <c r="K39"/>
      <c r="L39"/>
      <c r="M39"/>
      <c r="N39"/>
      <c r="O39"/>
      <c r="P39"/>
      <c r="Q39"/>
      <c r="R39"/>
      <c r="S39"/>
      <c r="T39">
        <v>36</v>
      </c>
      <c r="U39">
        <f t="shared" si="3"/>
        <v>0.36</v>
      </c>
      <c r="V39" s="54">
        <f t="shared" si="2"/>
        <v>0.16827566233903543</v>
      </c>
      <c r="X39"/>
    </row>
    <row r="40" spans="1:24" ht="12.75">
      <c r="A40"/>
      <c r="B40"/>
      <c r="C40"/>
      <c r="D40"/>
      <c r="E40"/>
      <c r="F40"/>
      <c r="G40"/>
      <c r="H40"/>
      <c r="I40"/>
      <c r="J40"/>
      <c r="K40"/>
      <c r="L40"/>
      <c r="M40"/>
      <c r="N40"/>
      <c r="O40"/>
      <c r="P40"/>
      <c r="Q40"/>
      <c r="R40"/>
      <c r="S40"/>
      <c r="T40">
        <v>37</v>
      </c>
      <c r="U40">
        <f t="shared" si="3"/>
        <v>0.37</v>
      </c>
      <c r="V40" s="54">
        <f t="shared" si="2"/>
        <v>0.17651357865080106</v>
      </c>
      <c r="X40"/>
    </row>
    <row r="41" spans="1:24" ht="12.75">
      <c r="A41"/>
      <c r="B41"/>
      <c r="C41"/>
      <c r="D41"/>
      <c r="E41"/>
      <c r="F41"/>
      <c r="G41"/>
      <c r="H41"/>
      <c r="I41"/>
      <c r="J41"/>
      <c r="K41"/>
      <c r="L41"/>
      <c r="M41"/>
      <c r="N41"/>
      <c r="O41"/>
      <c r="P41"/>
      <c r="Q41"/>
      <c r="R41"/>
      <c r="S41"/>
      <c r="T41">
        <v>38</v>
      </c>
      <c r="U41">
        <f t="shared" si="3"/>
        <v>0.38</v>
      </c>
      <c r="V41" s="54">
        <f t="shared" si="2"/>
        <v>0.18491892063191667</v>
      </c>
      <c r="X41"/>
    </row>
    <row r="42" spans="1:24" ht="12.75">
      <c r="A42"/>
      <c r="B42"/>
      <c r="C42"/>
      <c r="D42"/>
      <c r="E42"/>
      <c r="F42"/>
      <c r="G42"/>
      <c r="H42"/>
      <c r="I42"/>
      <c r="J42"/>
      <c r="K42"/>
      <c r="L42"/>
      <c r="M42"/>
      <c r="N42"/>
      <c r="O42"/>
      <c r="P42"/>
      <c r="Q42"/>
      <c r="R42"/>
      <c r="S42"/>
      <c r="T42">
        <v>39</v>
      </c>
      <c r="U42">
        <f t="shared" si="3"/>
        <v>0.39</v>
      </c>
      <c r="V42" s="54">
        <f aca="true" t="shared" si="4" ref="V42:V73">U42^$Q$4</f>
        <v>0.19349055068112558</v>
      </c>
      <c r="X42"/>
    </row>
    <row r="43" spans="1:24" ht="12.75">
      <c r="A43"/>
      <c r="B43"/>
      <c r="C43"/>
      <c r="D43"/>
      <c r="E43"/>
      <c r="F43"/>
      <c r="G43"/>
      <c r="H43"/>
      <c r="I43"/>
      <c r="J43"/>
      <c r="K43"/>
      <c r="L43"/>
      <c r="M43"/>
      <c r="N43"/>
      <c r="O43"/>
      <c r="P43"/>
      <c r="Q43"/>
      <c r="R43"/>
      <c r="S43"/>
      <c r="T43">
        <v>40</v>
      </c>
      <c r="U43">
        <f t="shared" si="3"/>
        <v>0.4</v>
      </c>
      <c r="V43" s="54">
        <f t="shared" si="4"/>
        <v>0.20222736818847856</v>
      </c>
      <c r="X43"/>
    </row>
    <row r="44" spans="1:24" ht="12.75">
      <c r="A44"/>
      <c r="B44"/>
      <c r="C44"/>
      <c r="D44"/>
      <c r="E44"/>
      <c r="F44"/>
      <c r="G44"/>
      <c r="H44"/>
      <c r="I44"/>
      <c r="J44"/>
      <c r="K44"/>
      <c r="L44"/>
      <c r="M44"/>
      <c r="N44"/>
      <c r="O44"/>
      <c r="P44"/>
      <c r="Q44"/>
      <c r="R44"/>
      <c r="S44"/>
      <c r="T44">
        <v>41</v>
      </c>
      <c r="U44">
        <f t="shared" si="3"/>
        <v>0.41</v>
      </c>
      <c r="V44" s="54">
        <f t="shared" si="4"/>
        <v>0.21112830742875793</v>
      </c>
      <c r="X44"/>
    </row>
    <row r="45" spans="1:24" s="4" customFormat="1" ht="12.75">
      <c r="A45"/>
      <c r="B45"/>
      <c r="C45"/>
      <c r="D45"/>
      <c r="E45"/>
      <c r="F45"/>
      <c r="G45"/>
      <c r="H45"/>
      <c r="I45"/>
      <c r="J45"/>
      <c r="K45"/>
      <c r="L45"/>
      <c r="M45"/>
      <c r="N45"/>
      <c r="O45"/>
      <c r="P45"/>
      <c r="Q45"/>
      <c r="R45"/>
      <c r="S45"/>
      <c r="T45">
        <v>42</v>
      </c>
      <c r="U45">
        <f t="shared" si="3"/>
        <v>0.42</v>
      </c>
      <c r="V45" s="54">
        <f t="shared" si="4"/>
        <v>0.2201923356238121</v>
      </c>
      <c r="X45"/>
    </row>
    <row r="46" spans="1:24" ht="12.75">
      <c r="A46"/>
      <c r="B46"/>
      <c r="C46"/>
      <c r="D46"/>
      <c r="E46"/>
      <c r="F46"/>
      <c r="G46"/>
      <c r="H46"/>
      <c r="I46"/>
      <c r="J46"/>
      <c r="K46"/>
      <c r="L46"/>
      <c r="M46"/>
      <c r="N46"/>
      <c r="O46"/>
      <c r="P46"/>
      <c r="Q46"/>
      <c r="R46"/>
      <c r="S46"/>
      <c r="T46">
        <v>43</v>
      </c>
      <c r="U46">
        <f t="shared" si="3"/>
        <v>0.43</v>
      </c>
      <c r="V46" s="54">
        <f t="shared" si="4"/>
        <v>0.22941845115651813</v>
      </c>
      <c r="X46"/>
    </row>
    <row r="47" spans="1:24" ht="12.75">
      <c r="A47"/>
      <c r="B47"/>
      <c r="C47"/>
      <c r="D47"/>
      <c r="E47"/>
      <c r="F47"/>
      <c r="G47"/>
      <c r="H47"/>
      <c r="I47"/>
      <c r="J47"/>
      <c r="K47"/>
      <c r="L47"/>
      <c r="M47"/>
      <c r="N47"/>
      <c r="O47"/>
      <c r="P47"/>
      <c r="Q47"/>
      <c r="R47"/>
      <c r="S47"/>
      <c r="T47">
        <v>44</v>
      </c>
      <c r="U47">
        <f t="shared" si="3"/>
        <v>0.44</v>
      </c>
      <c r="V47" s="54">
        <f t="shared" si="4"/>
        <v>0.2388056819212263</v>
      </c>
      <c r="X47"/>
    </row>
    <row r="48" spans="1:24" ht="12.75">
      <c r="A48"/>
      <c r="B48"/>
      <c r="C48"/>
      <c r="D48"/>
      <c r="E48"/>
      <c r="F48"/>
      <c r="G48"/>
      <c r="H48"/>
      <c r="I48"/>
      <c r="J48"/>
      <c r="K48"/>
      <c r="L48"/>
      <c r="M48"/>
      <c r="N48"/>
      <c r="O48"/>
      <c r="P48"/>
      <c r="Q48"/>
      <c r="R48"/>
      <c r="S48"/>
      <c r="T48">
        <v>45</v>
      </c>
      <c r="U48">
        <f t="shared" si="3"/>
        <v>0.45</v>
      </c>
      <c r="V48" s="54">
        <f t="shared" si="4"/>
        <v>0.2483530837973639</v>
      </c>
      <c r="X48"/>
    </row>
    <row r="49" spans="1:24" ht="12.75">
      <c r="A49"/>
      <c r="B49"/>
      <c r="C49"/>
      <c r="D49"/>
      <c r="E49"/>
      <c r="F49"/>
      <c r="G49"/>
      <c r="H49"/>
      <c r="I49"/>
      <c r="J49"/>
      <c r="K49"/>
      <c r="L49"/>
      <c r="M49"/>
      <c r="N49"/>
      <c r="O49"/>
      <c r="P49"/>
      <c r="Q49"/>
      <c r="R49"/>
      <c r="S49"/>
      <c r="T49">
        <v>46</v>
      </c>
      <c r="U49">
        <f t="shared" si="3"/>
        <v>0.46</v>
      </c>
      <c r="V49" s="54">
        <f t="shared" si="4"/>
        <v>0.2580597392344468</v>
      </c>
      <c r="X49"/>
    </row>
    <row r="50" spans="1:24" ht="12.75">
      <c r="A50"/>
      <c r="B50"/>
      <c r="C50"/>
      <c r="D50"/>
      <c r="E50"/>
      <c r="F50"/>
      <c r="G50"/>
      <c r="H50"/>
      <c r="I50"/>
      <c r="J50"/>
      <c r="K50"/>
      <c r="L50"/>
      <c r="M50"/>
      <c r="N50"/>
      <c r="O50"/>
      <c r="P50"/>
      <c r="Q50"/>
      <c r="R50"/>
      <c r="S50"/>
      <c r="T50">
        <v>47</v>
      </c>
      <c r="U50">
        <f t="shared" si="3"/>
        <v>0.47</v>
      </c>
      <c r="V50" s="54">
        <f t="shared" si="4"/>
        <v>0.26792475593810133</v>
      </c>
      <c r="X50"/>
    </row>
    <row r="51" spans="1:24" ht="12.75">
      <c r="A51"/>
      <c r="B51"/>
      <c r="C51"/>
      <c r="D51"/>
      <c r="E51"/>
      <c r="F51"/>
      <c r="G51"/>
      <c r="H51"/>
      <c r="I51"/>
      <c r="J51"/>
      <c r="K51"/>
      <c r="L51"/>
      <c r="M51"/>
      <c r="N51"/>
      <c r="O51"/>
      <c r="P51"/>
      <c r="Q51"/>
      <c r="R51"/>
      <c r="S51"/>
      <c r="T51">
        <v>48</v>
      </c>
      <c r="U51">
        <f t="shared" si="3"/>
        <v>0.48</v>
      </c>
      <c r="V51" s="54">
        <f t="shared" si="4"/>
        <v>0.2779472656478736</v>
      </c>
      <c r="X51"/>
    </row>
    <row r="52" spans="1:24" ht="12.75">
      <c r="A52"/>
      <c r="B52"/>
      <c r="C52"/>
      <c r="D52"/>
      <c r="E52"/>
      <c r="F52"/>
      <c r="G52"/>
      <c r="H52"/>
      <c r="I52"/>
      <c r="J52"/>
      <c r="K52"/>
      <c r="L52"/>
      <c r="M52"/>
      <c r="N52"/>
      <c r="O52"/>
      <c r="P52"/>
      <c r="Q52"/>
      <c r="R52"/>
      <c r="S52"/>
      <c r="T52">
        <v>49</v>
      </c>
      <c r="U52">
        <f t="shared" si="3"/>
        <v>0.49</v>
      </c>
      <c r="V52" s="54">
        <f t="shared" si="4"/>
        <v>0.28812642299861774</v>
      </c>
      <c r="X52"/>
    </row>
    <row r="53" spans="20:24" ht="12.75">
      <c r="T53">
        <v>50</v>
      </c>
      <c r="U53">
        <f t="shared" si="3"/>
        <v>0.5</v>
      </c>
      <c r="V53" s="54">
        <f t="shared" si="4"/>
        <v>0.2984614044581478</v>
      </c>
      <c r="X53"/>
    </row>
    <row r="54" spans="20:24" ht="12.75">
      <c r="T54">
        <v>51</v>
      </c>
      <c r="U54">
        <f t="shared" si="3"/>
        <v>0.51</v>
      </c>
      <c r="V54" s="54">
        <f t="shared" si="4"/>
        <v>0.30895140733460763</v>
      </c>
      <c r="X54"/>
    </row>
    <row r="55" spans="20:24" ht="12.75">
      <c r="T55">
        <v>52</v>
      </c>
      <c r="U55">
        <f t="shared" si="3"/>
        <v>0.52</v>
      </c>
      <c r="V55" s="54">
        <f t="shared" si="4"/>
        <v>0.3195956488476979</v>
      </c>
      <c r="X55"/>
    </row>
    <row r="56" spans="20:24" ht="12.75">
      <c r="T56">
        <v>53</v>
      </c>
      <c r="U56">
        <f t="shared" si="3"/>
        <v>0.53</v>
      </c>
      <c r="V56" s="54">
        <f t="shared" si="4"/>
        <v>0.3303933652584923</v>
      </c>
      <c r="X56"/>
    </row>
    <row r="57" spans="20:24" ht="12.75">
      <c r="T57">
        <v>54</v>
      </c>
      <c r="U57">
        <f t="shared" si="3"/>
        <v>0.54</v>
      </c>
      <c r="V57" s="54">
        <f t="shared" si="4"/>
        <v>0.34134381105310413</v>
      </c>
      <c r="X57"/>
    </row>
    <row r="58" spans="20:24" ht="12.75">
      <c r="T58">
        <v>55</v>
      </c>
      <c r="U58">
        <f t="shared" si="3"/>
        <v>0.55</v>
      </c>
      <c r="V58" s="54">
        <f t="shared" si="4"/>
        <v>0.35244625817592784</v>
      </c>
      <c r="X58"/>
    </row>
    <row r="59" spans="20:24" ht="12.75">
      <c r="T59">
        <v>56</v>
      </c>
      <c r="U59">
        <f t="shared" si="3"/>
        <v>0.56</v>
      </c>
      <c r="V59" s="54">
        <f t="shared" si="4"/>
        <v>0.3636999953085922</v>
      </c>
      <c r="X59"/>
    </row>
    <row r="60" spans="20:24" ht="12.75">
      <c r="T60">
        <v>57</v>
      </c>
      <c r="U60">
        <f t="shared" si="3"/>
        <v>0.57</v>
      </c>
      <c r="V60" s="54">
        <f t="shared" si="4"/>
        <v>0.3751043271911254</v>
      </c>
      <c r="X60"/>
    </row>
    <row r="61" spans="20:24" ht="12.75">
      <c r="T61">
        <v>58</v>
      </c>
      <c r="U61">
        <f t="shared" si="3"/>
        <v>0.58</v>
      </c>
      <c r="V61" s="54">
        <f t="shared" si="4"/>
        <v>0.3866585739821613</v>
      </c>
      <c r="X61"/>
    </row>
    <row r="62" spans="20:24" ht="12.75">
      <c r="T62">
        <v>59</v>
      </c>
      <c r="U62">
        <f t="shared" si="3"/>
        <v>0.59</v>
      </c>
      <c r="V62" s="54">
        <f t="shared" si="4"/>
        <v>0.39836207065529944</v>
      </c>
      <c r="X62"/>
    </row>
    <row r="63" spans="20:24" ht="12.75">
      <c r="T63">
        <v>60</v>
      </c>
      <c r="U63">
        <f t="shared" si="3"/>
        <v>0.6</v>
      </c>
      <c r="V63" s="54">
        <f t="shared" si="4"/>
        <v>0.4102141664289953</v>
      </c>
      <c r="X63"/>
    </row>
    <row r="64" spans="20:24" ht="12.75">
      <c r="T64">
        <v>61</v>
      </c>
      <c r="U64">
        <f t="shared" si="3"/>
        <v>0.61</v>
      </c>
      <c r="V64" s="54">
        <f t="shared" si="4"/>
        <v>0.4222142242275879</v>
      </c>
      <c r="X64"/>
    </row>
    <row r="65" spans="20:24" ht="12.75">
      <c r="T65">
        <v>62</v>
      </c>
      <c r="U65">
        <f t="shared" si="3"/>
        <v>0.62</v>
      </c>
      <c r="V65" s="54">
        <f t="shared" si="4"/>
        <v>0.43436162017127605</v>
      </c>
      <c r="X65"/>
    </row>
    <row r="66" spans="20:24" ht="12.75">
      <c r="T66">
        <v>63</v>
      </c>
      <c r="U66">
        <f t="shared" si="3"/>
        <v>0.63</v>
      </c>
      <c r="V66" s="54">
        <f t="shared" si="4"/>
        <v>0.4466557430930449</v>
      </c>
      <c r="X66"/>
    </row>
    <row r="67" spans="20:24" ht="12.75">
      <c r="T67">
        <v>64</v>
      </c>
      <c r="U67">
        <f t="shared" si="3"/>
        <v>0.64</v>
      </c>
      <c r="V67" s="54">
        <f t="shared" si="4"/>
        <v>0.4590959940807113</v>
      </c>
      <c r="X67"/>
    </row>
    <row r="68" spans="20:24" ht="12.75">
      <c r="T68">
        <v>65</v>
      </c>
      <c r="U68">
        <f>T68/100</f>
        <v>0.65</v>
      </c>
      <c r="V68" s="54">
        <f t="shared" si="4"/>
        <v>0.47168178604240674</v>
      </c>
      <c r="X68"/>
    </row>
    <row r="69" spans="20:24" ht="12.75">
      <c r="T69">
        <v>66</v>
      </c>
      <c r="U69">
        <f aca="true" t="shared" si="5" ref="U69:U102">T69/100</f>
        <v>0.66</v>
      </c>
      <c r="V69" s="54">
        <f t="shared" si="4"/>
        <v>0.48441254329395367</v>
      </c>
      <c r="X69"/>
    </row>
    <row r="70" spans="20:24" ht="12.75">
      <c r="T70">
        <v>67</v>
      </c>
      <c r="U70">
        <f t="shared" si="5"/>
        <v>0.67</v>
      </c>
      <c r="V70" s="54">
        <f t="shared" si="4"/>
        <v>0.4972877011667166</v>
      </c>
      <c r="X70"/>
    </row>
    <row r="71" spans="20:24" ht="12.75">
      <c r="T71">
        <v>68</v>
      </c>
      <c r="U71">
        <f t="shared" si="5"/>
        <v>0.68</v>
      </c>
      <c r="V71" s="54">
        <f t="shared" si="4"/>
        <v>0.5103067056346182</v>
      </c>
      <c r="X71"/>
    </row>
    <row r="72" spans="20:24" ht="12.75">
      <c r="T72">
        <v>69</v>
      </c>
      <c r="U72">
        <f t="shared" si="5"/>
        <v>0.69</v>
      </c>
      <c r="V72" s="54">
        <f t="shared" si="4"/>
        <v>0.5234690129591154</v>
      </c>
      <c r="X72"/>
    </row>
    <row r="73" spans="20:24" ht="12.75">
      <c r="T73">
        <v>70</v>
      </c>
      <c r="U73">
        <f t="shared" si="5"/>
        <v>0.7</v>
      </c>
      <c r="V73" s="54">
        <f t="shared" si="4"/>
        <v>0.5367740893510208</v>
      </c>
      <c r="X73"/>
    </row>
    <row r="74" spans="20:24" ht="12.75">
      <c r="T74">
        <v>71</v>
      </c>
      <c r="U74">
        <f t="shared" si="5"/>
        <v>0.71</v>
      </c>
      <c r="V74" s="54">
        <f aca="true" t="shared" si="6" ref="V74:V103">U74^$Q$4</f>
        <v>0.5502214106481392</v>
      </c>
      <c r="X74"/>
    </row>
    <row r="75" spans="20:24" ht="12.75">
      <c r="T75">
        <v>72</v>
      </c>
      <c r="U75">
        <f t="shared" si="5"/>
        <v>0.72</v>
      </c>
      <c r="V75" s="54">
        <f t="shared" si="6"/>
        <v>0.5638104620077675</v>
      </c>
      <c r="X75"/>
    </row>
    <row r="76" spans="20:24" ht="12.75">
      <c r="T76">
        <v>73</v>
      </c>
      <c r="U76">
        <f t="shared" si="5"/>
        <v>0.73</v>
      </c>
      <c r="V76" s="54">
        <f t="shared" si="6"/>
        <v>0.5775407376131727</v>
      </c>
      <c r="X76"/>
    </row>
    <row r="77" spans="20:24" ht="12.75">
      <c r="T77">
        <v>74</v>
      </c>
      <c r="U77">
        <f t="shared" si="5"/>
        <v>0.74</v>
      </c>
      <c r="V77" s="54">
        <f t="shared" si="6"/>
        <v>0.5914117403932304</v>
      </c>
      <c r="X77"/>
    </row>
    <row r="78" spans="20:24" ht="12.75">
      <c r="T78">
        <v>75</v>
      </c>
      <c r="U78">
        <f t="shared" si="5"/>
        <v>0.75</v>
      </c>
      <c r="V78" s="54">
        <f t="shared" si="6"/>
        <v>0.6054229817544631</v>
      </c>
      <c r="X78"/>
    </row>
    <row r="79" spans="20:24" ht="12.75">
      <c r="T79">
        <v>76</v>
      </c>
      <c r="U79">
        <f t="shared" si="5"/>
        <v>0.76</v>
      </c>
      <c r="V79" s="54">
        <f t="shared" si="6"/>
        <v>0.6195739813247686</v>
      </c>
      <c r="X79"/>
    </row>
    <row r="80" spans="20:24" ht="12.75">
      <c r="T80">
        <v>77</v>
      </c>
      <c r="U80">
        <f t="shared" si="5"/>
        <v>0.77</v>
      </c>
      <c r="V80" s="54">
        <f t="shared" si="6"/>
        <v>0.6338642667081837</v>
      </c>
      <c r="X80"/>
    </row>
    <row r="81" spans="20:24" ht="12.75">
      <c r="T81">
        <v>78</v>
      </c>
      <c r="U81">
        <f t="shared" si="5"/>
        <v>0.78</v>
      </c>
      <c r="V81" s="54">
        <f t="shared" si="6"/>
        <v>0.6482933732500683</v>
      </c>
      <c r="X81"/>
    </row>
    <row r="82" spans="20:24" ht="12.75">
      <c r="T82">
        <v>79</v>
      </c>
      <c r="U82">
        <f t="shared" si="5"/>
        <v>0.79</v>
      </c>
      <c r="V82" s="54">
        <f t="shared" si="6"/>
        <v>0.662860843812139</v>
      </c>
      <c r="X82"/>
    </row>
    <row r="83" spans="20:24" ht="12.75">
      <c r="T83">
        <v>80</v>
      </c>
      <c r="U83">
        <f t="shared" si="5"/>
        <v>0.8</v>
      </c>
      <c r="V83" s="54">
        <f t="shared" si="6"/>
        <v>0.6775662285568189</v>
      </c>
      <c r="X83"/>
    </row>
    <row r="84" spans="20:24" ht="12.75">
      <c r="T84">
        <v>81</v>
      </c>
      <c r="U84">
        <f t="shared" si="5"/>
        <v>0.81</v>
      </c>
      <c r="V84" s="54">
        <f t="shared" si="6"/>
        <v>0.6924090847404064</v>
      </c>
      <c r="X84"/>
    </row>
    <row r="85" spans="20:24" ht="12.75">
      <c r="T85">
        <v>82</v>
      </c>
      <c r="U85">
        <f t="shared" si="5"/>
        <v>0.82</v>
      </c>
      <c r="V85" s="54">
        <f t="shared" si="6"/>
        <v>0.7073889765145955</v>
      </c>
      <c r="X85"/>
    </row>
    <row r="86" spans="20:24" ht="12.75">
      <c r="T86">
        <v>83</v>
      </c>
      <c r="U86">
        <f t="shared" si="5"/>
        <v>0.83</v>
      </c>
      <c r="V86" s="54">
        <f t="shared" si="6"/>
        <v>0.7225054747359154</v>
      </c>
      <c r="X86"/>
    </row>
    <row r="87" spans="20:24" ht="12.75">
      <c r="T87">
        <v>84</v>
      </c>
      <c r="U87">
        <f t="shared" si="5"/>
        <v>0.84</v>
      </c>
      <c r="V87" s="54">
        <f t="shared" si="6"/>
        <v>0.7377581567826768</v>
      </c>
      <c r="X87"/>
    </row>
    <row r="88" spans="20:24" ht="12.75">
      <c r="T88">
        <v>85</v>
      </c>
      <c r="U88">
        <f t="shared" si="5"/>
        <v>0.85</v>
      </c>
      <c r="V88" s="54">
        <f t="shared" si="6"/>
        <v>0.7531466063790474</v>
      </c>
      <c r="X88"/>
    </row>
    <row r="89" spans="20:24" ht="12.75">
      <c r="T89">
        <v>86</v>
      </c>
      <c r="U89">
        <f t="shared" si="5"/>
        <v>0.86</v>
      </c>
      <c r="V89" s="54">
        <f t="shared" si="6"/>
        <v>0.7686704134258964</v>
      </c>
      <c r="X89"/>
    </row>
    <row r="90" spans="20:24" ht="12.75">
      <c r="T90">
        <v>87</v>
      </c>
      <c r="U90">
        <f t="shared" si="5"/>
        <v>0.87</v>
      </c>
      <c r="V90" s="54">
        <f t="shared" si="6"/>
        <v>0.7843291738380691</v>
      </c>
      <c r="X90"/>
    </row>
    <row r="91" spans="20:24" ht="12.75">
      <c r="T91">
        <v>88</v>
      </c>
      <c r="U91">
        <f t="shared" si="5"/>
        <v>0.88</v>
      </c>
      <c r="V91" s="54">
        <f t="shared" si="6"/>
        <v>0.8001224893877802</v>
      </c>
      <c r="X91"/>
    </row>
    <row r="92" spans="20:24" ht="12.75">
      <c r="T92">
        <v>89</v>
      </c>
      <c r="U92">
        <f t="shared" si="5"/>
        <v>0.89</v>
      </c>
      <c r="V92" s="54">
        <f t="shared" si="6"/>
        <v>0.8160499675538248</v>
      </c>
      <c r="X92"/>
    </row>
    <row r="93" spans="20:24" ht="12.75">
      <c r="T93">
        <v>90</v>
      </c>
      <c r="U93">
        <f t="shared" si="5"/>
        <v>0.9</v>
      </c>
      <c r="V93" s="54">
        <f t="shared" si="6"/>
        <v>0.8321112213763292</v>
      </c>
      <c r="X93"/>
    </row>
    <row r="94" spans="20:24" ht="12.75">
      <c r="T94">
        <v>91</v>
      </c>
      <c r="U94">
        <f t="shared" si="5"/>
        <v>0.91</v>
      </c>
      <c r="V94" s="54">
        <f t="shared" si="6"/>
        <v>0.8483058693167794</v>
      </c>
      <c r="X94"/>
    </row>
    <row r="95" spans="20:24" ht="12.75">
      <c r="T95">
        <v>92</v>
      </c>
      <c r="U95">
        <f t="shared" si="5"/>
        <v>0.92</v>
      </c>
      <c r="V95" s="54">
        <f t="shared" si="6"/>
        <v>0.8646335351230768</v>
      </c>
      <c r="X95"/>
    </row>
    <row r="96" spans="20:24" ht="12.75">
      <c r="T96">
        <v>93</v>
      </c>
      <c r="U96">
        <f t="shared" si="5"/>
        <v>0.93</v>
      </c>
      <c r="V96" s="54">
        <f t="shared" si="6"/>
        <v>0.8810938476993907</v>
      </c>
      <c r="X96"/>
    </row>
    <row r="97" spans="20:24" ht="12.75">
      <c r="T97">
        <v>94</v>
      </c>
      <c r="U97">
        <f t="shared" si="5"/>
        <v>0.94</v>
      </c>
      <c r="V97" s="54">
        <f t="shared" si="6"/>
        <v>0.8976864409805841</v>
      </c>
      <c r="X97"/>
    </row>
    <row r="98" spans="20:24" ht="12.75">
      <c r="T98">
        <v>95</v>
      </c>
      <c r="U98">
        <f t="shared" si="5"/>
        <v>0.95</v>
      </c>
      <c r="V98" s="54">
        <f t="shared" si="6"/>
        <v>0.9144109538110086</v>
      </c>
      <c r="X98"/>
    </row>
    <row r="99" spans="20:24" ht="12.75">
      <c r="T99">
        <v>96</v>
      </c>
      <c r="U99">
        <f t="shared" si="5"/>
        <v>0.96</v>
      </c>
      <c r="V99" s="54">
        <f t="shared" si="6"/>
        <v>0.9312670298274669</v>
      </c>
      <c r="X99"/>
    </row>
    <row r="100" spans="20:24" ht="12.75">
      <c r="T100">
        <v>97</v>
      </c>
      <c r="U100">
        <f t="shared" si="5"/>
        <v>0.97</v>
      </c>
      <c r="V100" s="54">
        <f t="shared" si="6"/>
        <v>0.9482543173461631</v>
      </c>
      <c r="X100"/>
    </row>
    <row r="101" spans="20:24" ht="12.75">
      <c r="T101">
        <v>98</v>
      </c>
      <c r="U101">
        <f t="shared" si="5"/>
        <v>0.98</v>
      </c>
      <c r="V101" s="54">
        <f t="shared" si="6"/>
        <v>0.96537246925346</v>
      </c>
      <c r="X101"/>
    </row>
    <row r="102" spans="20:24" ht="12.75">
      <c r="T102">
        <v>99</v>
      </c>
      <c r="U102">
        <f t="shared" si="5"/>
        <v>0.99</v>
      </c>
      <c r="V102" s="54">
        <f t="shared" si="6"/>
        <v>0.9826211429002816</v>
      </c>
      <c r="X102"/>
    </row>
    <row r="103" spans="20:24" ht="12.75">
      <c r="T103">
        <v>100</v>
      </c>
      <c r="U103">
        <f>T103/100</f>
        <v>1</v>
      </c>
      <c r="V103" s="54">
        <f t="shared" si="6"/>
        <v>1</v>
      </c>
      <c r="X103"/>
    </row>
    <row r="104" spans="22:24" ht="12.75">
      <c r="V104" s="1"/>
      <c r="X104"/>
    </row>
    <row r="105" spans="20:24" ht="12.75">
      <c r="T105"/>
      <c r="X105"/>
    </row>
    <row r="106" ht="12.75">
      <c r="T106"/>
    </row>
    <row r="107" ht="12.75">
      <c r="T107"/>
    </row>
    <row r="108" ht="12.75">
      <c r="T108"/>
    </row>
    <row r="109" ht="12.75">
      <c r="T109"/>
    </row>
    <row r="110" ht="12.75">
      <c r="T110"/>
    </row>
    <row r="111" ht="12.75">
      <c r="T111"/>
    </row>
  </sheetData>
  <printOptions/>
  <pageMargins left="0.7480314960629921" right="0.7480314960629921" top="0.984251968503937" bottom="0.984251968503937" header="0.5118110236220472" footer="0.5118110236220472"/>
  <pageSetup horizontalDpi="600" verticalDpi="600" orientation="portrait" paperSize="9" r:id="rId9"/>
  <headerFooter alignWithMargins="0">
    <oddHeader>&amp;L&amp;F&amp;C&amp;A&amp;R&amp;D   &amp;T</oddHeader>
    <oddFooter>&amp;C&amp;F&amp;RPage &amp;P</oddFooter>
  </headerFooter>
  <drawing r:id="rId8"/>
  <legacyDrawing r:id="rId7"/>
  <oleObjects>
    <oleObject progId="Equation.3" shapeId="2469797" r:id="rId2"/>
    <oleObject progId="Equation.3" shapeId="1527742" r:id="rId3"/>
    <oleObject progId="Equation.2" shapeId="1638493" r:id="rId4"/>
    <oleObject progId="Equation.2" shapeId="1640817" r:id="rId5"/>
    <oleObject progId="Equation.3" shapeId="1067528" r:id="rId6"/>
  </oleObjects>
</worksheet>
</file>

<file path=xl/worksheets/sheet4.xml><?xml version="1.0" encoding="utf-8"?>
<worksheet xmlns="http://schemas.openxmlformats.org/spreadsheetml/2006/main" xmlns:r="http://schemas.openxmlformats.org/officeDocument/2006/relationships">
  <sheetPr codeName="Sheet3"/>
  <dimension ref="A2:R82"/>
  <sheetViews>
    <sheetView workbookViewId="0" topLeftCell="A1">
      <selection activeCell="A3" sqref="A3"/>
    </sheetView>
  </sheetViews>
  <sheetFormatPr defaultColWidth="9.140625" defaultRowHeight="12.75"/>
  <cols>
    <col min="8" max="8" width="9.421875" style="0" customWidth="1"/>
    <col min="9" max="9" width="11.00390625" style="0" customWidth="1"/>
    <col min="18" max="18" width="9.7109375" style="0" customWidth="1"/>
  </cols>
  <sheetData>
    <row r="2" spans="1:12" ht="13.5" thickBot="1">
      <c r="A2" s="173" t="s">
        <v>108</v>
      </c>
      <c r="B2" s="174" t="s">
        <v>109</v>
      </c>
      <c r="C2" s="174"/>
      <c r="D2" s="175" t="s">
        <v>110</v>
      </c>
      <c r="E2" s="175"/>
      <c r="F2" s="175" t="s">
        <v>111</v>
      </c>
      <c r="G2" s="175" t="s">
        <v>112</v>
      </c>
      <c r="H2" s="174" t="s">
        <v>113</v>
      </c>
      <c r="K2" s="187" t="s">
        <v>114</v>
      </c>
      <c r="L2" s="9" t="s">
        <v>128</v>
      </c>
    </row>
    <row r="3" spans="1:16" ht="13.5" customHeight="1" thickTop="1">
      <c r="A3" s="175" t="s">
        <v>115</v>
      </c>
      <c r="B3" s="174" t="s">
        <v>116</v>
      </c>
      <c r="C3" s="175"/>
      <c r="D3" s="174" t="s">
        <v>117</v>
      </c>
      <c r="E3" s="174"/>
      <c r="F3" s="174" t="s">
        <v>118</v>
      </c>
      <c r="G3" s="188" t="s">
        <v>122</v>
      </c>
      <c r="I3" s="189" t="s">
        <v>119</v>
      </c>
      <c r="J3" s="176" t="s">
        <v>120</v>
      </c>
      <c r="K3" s="177"/>
      <c r="L3" s="177"/>
      <c r="M3" s="178"/>
      <c r="N3" s="178"/>
      <c r="O3" s="178"/>
      <c r="P3" s="179"/>
    </row>
    <row r="4" spans="9:16" ht="13.5" thickBot="1">
      <c r="I4" s="190"/>
      <c r="J4" s="180"/>
      <c r="K4" s="181" t="s">
        <v>121</v>
      </c>
      <c r="L4" s="182" t="s">
        <v>2</v>
      </c>
      <c r="M4" s="183" t="s">
        <v>2</v>
      </c>
      <c r="N4" s="184" t="s">
        <v>3</v>
      </c>
      <c r="O4" s="185" t="s">
        <v>3</v>
      </c>
      <c r="P4" s="186"/>
    </row>
    <row r="5" ht="13.5" thickTop="1"/>
    <row r="7" ht="12.75" customHeight="1"/>
    <row r="10" ht="12.75">
      <c r="C10" s="11"/>
    </row>
    <row r="26" ht="15" customHeight="1"/>
    <row r="33" ht="11.25" customHeight="1"/>
    <row r="35" ht="15" customHeight="1"/>
    <row r="51" ht="19.5" customHeight="1">
      <c r="A51" s="66"/>
    </row>
    <row r="57" spans="1:18" ht="12.75">
      <c r="A57" s="12" t="s">
        <v>24</v>
      </c>
      <c r="J57" s="152"/>
      <c r="K57" s="44"/>
      <c r="L57" s="44"/>
      <c r="M57" s="44"/>
      <c r="N57" s="44"/>
      <c r="O57" s="44"/>
      <c r="P57" s="44"/>
      <c r="Q57" s="44"/>
      <c r="R57" s="44"/>
    </row>
    <row r="58" spans="1:18" ht="12.75">
      <c r="A58" s="56" t="s">
        <v>93</v>
      </c>
      <c r="B58" s="63" t="s">
        <v>38</v>
      </c>
      <c r="J58" s="153"/>
      <c r="K58" s="44"/>
      <c r="L58" s="44"/>
      <c r="M58" s="44"/>
      <c r="N58" s="44"/>
      <c r="O58" s="44"/>
      <c r="P58" s="44"/>
      <c r="Q58" s="44"/>
      <c r="R58" s="44"/>
    </row>
    <row r="59" spans="1:18" ht="12.75">
      <c r="A59" s="56" t="s">
        <v>85</v>
      </c>
      <c r="B59" t="s">
        <v>84</v>
      </c>
      <c r="J59" s="44"/>
      <c r="K59" s="44"/>
      <c r="L59" s="44"/>
      <c r="M59" s="44"/>
      <c r="N59" s="44"/>
      <c r="O59" s="44"/>
      <c r="P59" s="44"/>
      <c r="Q59" s="44"/>
      <c r="R59" s="44"/>
    </row>
    <row r="60" spans="1:18" ht="12.75">
      <c r="A60" s="24"/>
      <c r="B60" t="s">
        <v>86</v>
      </c>
      <c r="J60" s="44"/>
      <c r="K60" s="44"/>
      <c r="L60" s="44"/>
      <c r="M60" s="44"/>
      <c r="N60" s="44"/>
      <c r="O60" s="44"/>
      <c r="P60" s="44"/>
      <c r="Q60" s="44"/>
      <c r="R60" s="44"/>
    </row>
    <row r="61" spans="1:18" ht="15.75">
      <c r="A61" s="61" t="s">
        <v>34</v>
      </c>
      <c r="B61" t="s">
        <v>87</v>
      </c>
      <c r="J61" s="44"/>
      <c r="K61" s="44"/>
      <c r="L61" s="44"/>
      <c r="M61" s="44"/>
      <c r="N61" s="44"/>
      <c r="O61" s="44"/>
      <c r="P61" s="44"/>
      <c r="Q61" s="44"/>
      <c r="R61" s="44"/>
    </row>
    <row r="62" spans="1:18" ht="12.75">
      <c r="A62" s="56" t="s">
        <v>43</v>
      </c>
      <c r="B62" t="s">
        <v>33</v>
      </c>
      <c r="J62" s="153"/>
      <c r="K62" s="44"/>
      <c r="L62" s="44"/>
      <c r="M62" s="44"/>
      <c r="N62" s="44"/>
      <c r="O62" s="44"/>
      <c r="P62" s="44"/>
      <c r="Q62" s="44"/>
      <c r="R62" s="44"/>
    </row>
    <row r="63" spans="1:18" ht="15.75">
      <c r="A63" s="56" t="s">
        <v>42</v>
      </c>
      <c r="B63" t="s">
        <v>39</v>
      </c>
      <c r="J63" s="154"/>
      <c r="K63" s="44"/>
      <c r="L63" s="44"/>
      <c r="M63" s="44"/>
      <c r="N63" s="44"/>
      <c r="O63" s="44"/>
      <c r="P63" s="44"/>
      <c r="Q63" s="44"/>
      <c r="R63" s="44"/>
    </row>
    <row r="64" spans="1:18" ht="15.75">
      <c r="A64" s="56" t="s">
        <v>44</v>
      </c>
      <c r="B64" t="s">
        <v>35</v>
      </c>
      <c r="J64" s="154"/>
      <c r="K64" s="44"/>
      <c r="L64" s="44"/>
      <c r="M64" s="44"/>
      <c r="N64" s="44"/>
      <c r="O64" s="44"/>
      <c r="P64" s="44"/>
      <c r="Q64" s="44"/>
      <c r="R64" s="44"/>
    </row>
    <row r="65" spans="2:18" ht="12.75">
      <c r="B65" t="s">
        <v>32</v>
      </c>
      <c r="J65" s="154"/>
      <c r="K65" s="44"/>
      <c r="L65" s="44"/>
      <c r="M65" s="44"/>
      <c r="N65" s="44"/>
      <c r="O65" s="44"/>
      <c r="P65" s="44"/>
      <c r="Q65" s="44"/>
      <c r="R65" s="44"/>
    </row>
    <row r="66" spans="1:18" ht="12.75">
      <c r="A66" s="3"/>
      <c r="J66" s="153"/>
      <c r="K66" s="44"/>
      <c r="L66" s="44"/>
      <c r="M66" s="44"/>
      <c r="N66" s="44"/>
      <c r="O66" s="44"/>
      <c r="P66" s="44"/>
      <c r="Q66" s="44"/>
      <c r="R66" s="44"/>
    </row>
    <row r="67" spans="1:18" ht="12.75">
      <c r="A67" s="56" t="s">
        <v>45</v>
      </c>
      <c r="B67" t="s">
        <v>88</v>
      </c>
      <c r="J67" s="154"/>
      <c r="K67" s="44"/>
      <c r="L67" s="44"/>
      <c r="M67" s="44"/>
      <c r="N67" s="44"/>
      <c r="O67" s="44"/>
      <c r="P67" s="44"/>
      <c r="Q67" s="44"/>
      <c r="R67" s="44"/>
    </row>
    <row r="68" spans="2:18" ht="12.75">
      <c r="B68" t="s">
        <v>89</v>
      </c>
      <c r="J68" s="154"/>
      <c r="K68" s="44"/>
      <c r="L68" s="44"/>
      <c r="M68" s="44"/>
      <c r="N68" s="44"/>
      <c r="O68" s="44"/>
      <c r="P68" s="44"/>
      <c r="Q68" s="44"/>
      <c r="R68" s="44"/>
    </row>
    <row r="69" spans="1:18" ht="12.75">
      <c r="A69" s="38" t="s">
        <v>25</v>
      </c>
      <c r="B69" t="s">
        <v>26</v>
      </c>
      <c r="J69" s="154"/>
      <c r="K69" s="44"/>
      <c r="L69" s="44"/>
      <c r="M69" s="44"/>
      <c r="N69" s="44"/>
      <c r="O69" s="44"/>
      <c r="P69" s="44"/>
      <c r="Q69" s="44"/>
      <c r="R69" s="44"/>
    </row>
    <row r="70" spans="1:18" ht="15.75">
      <c r="A70" s="56" t="s">
        <v>46</v>
      </c>
      <c r="B70" t="s">
        <v>91</v>
      </c>
      <c r="J70" s="153"/>
      <c r="K70" s="44"/>
      <c r="L70" s="44"/>
      <c r="M70" s="44"/>
      <c r="N70" s="44"/>
      <c r="O70" s="44"/>
      <c r="P70" s="44"/>
      <c r="Q70" s="44"/>
      <c r="R70" s="44"/>
    </row>
    <row r="71" spans="1:18" ht="15.75">
      <c r="A71" s="56" t="s">
        <v>47</v>
      </c>
      <c r="B71" t="s">
        <v>90</v>
      </c>
      <c r="J71" s="154"/>
      <c r="K71" s="44"/>
      <c r="L71" s="44"/>
      <c r="M71" s="44"/>
      <c r="N71" s="44"/>
      <c r="O71" s="44"/>
      <c r="P71" s="44"/>
      <c r="Q71" s="44"/>
      <c r="R71" s="44"/>
    </row>
    <row r="72" spans="1:18" ht="15.75">
      <c r="A72" s="56" t="s">
        <v>48</v>
      </c>
      <c r="B72" t="s">
        <v>92</v>
      </c>
      <c r="J72" s="154"/>
      <c r="K72" s="44"/>
      <c r="L72" s="44"/>
      <c r="M72" s="44"/>
      <c r="N72" s="44"/>
      <c r="O72" s="44"/>
      <c r="P72" s="44"/>
      <c r="Q72" s="44"/>
      <c r="R72" s="44"/>
    </row>
    <row r="73" spans="1:18" ht="15.75">
      <c r="A73" s="56" t="s">
        <v>103</v>
      </c>
      <c r="B73" t="s">
        <v>79</v>
      </c>
      <c r="J73" s="154"/>
      <c r="K73" s="44"/>
      <c r="L73" s="44"/>
      <c r="M73" s="44"/>
      <c r="N73" s="44"/>
      <c r="O73" s="44"/>
      <c r="P73" s="44"/>
      <c r="Q73" s="44"/>
      <c r="R73" s="44"/>
    </row>
    <row r="74" spans="1:18" ht="15" customHeight="1">
      <c r="A74" s="56" t="s">
        <v>104</v>
      </c>
      <c r="B74" t="s">
        <v>76</v>
      </c>
      <c r="J74" s="153"/>
      <c r="K74" s="44"/>
      <c r="L74" s="44"/>
      <c r="M74" s="44"/>
      <c r="N74" s="44"/>
      <c r="O74" s="44"/>
      <c r="P74" s="44"/>
      <c r="Q74" s="44"/>
      <c r="R74" s="44"/>
    </row>
    <row r="75" spans="1:18" ht="15" customHeight="1">
      <c r="A75" s="56" t="s">
        <v>77</v>
      </c>
      <c r="B75" t="s">
        <v>78</v>
      </c>
      <c r="J75" s="153"/>
      <c r="K75" s="44"/>
      <c r="L75" s="44"/>
      <c r="M75" s="44"/>
      <c r="N75" s="44"/>
      <c r="O75" s="44"/>
      <c r="P75" s="44"/>
      <c r="Q75" s="44"/>
      <c r="R75" s="44"/>
    </row>
    <row r="76" spans="1:18" ht="15" customHeight="1">
      <c r="A76" s="56" t="s">
        <v>96</v>
      </c>
      <c r="B76" t="s">
        <v>95</v>
      </c>
      <c r="J76" s="153"/>
      <c r="K76" s="44"/>
      <c r="L76" s="44"/>
      <c r="M76" s="44"/>
      <c r="N76" s="44"/>
      <c r="O76" s="44"/>
      <c r="P76" s="44"/>
      <c r="Q76" s="44"/>
      <c r="R76" s="44"/>
    </row>
    <row r="77" spans="1:18" ht="15" customHeight="1">
      <c r="A77" s="56" t="s">
        <v>82</v>
      </c>
      <c r="B77" t="s">
        <v>83</v>
      </c>
      <c r="J77" s="153"/>
      <c r="K77" s="44"/>
      <c r="L77" s="44"/>
      <c r="M77" s="44"/>
      <c r="N77" s="44"/>
      <c r="O77" s="44"/>
      <c r="P77" s="44"/>
      <c r="Q77" s="44"/>
      <c r="R77" s="44"/>
    </row>
    <row r="78" spans="1:18" ht="14.25" customHeight="1">
      <c r="A78" s="56" t="s">
        <v>80</v>
      </c>
      <c r="B78" t="s">
        <v>81</v>
      </c>
      <c r="J78" s="44"/>
      <c r="K78" s="44"/>
      <c r="L78" s="44"/>
      <c r="M78" s="44"/>
      <c r="N78" s="44"/>
      <c r="O78" s="44"/>
      <c r="P78" s="44"/>
      <c r="Q78" s="44"/>
      <c r="R78" s="44"/>
    </row>
    <row r="79" spans="1:18" ht="14.25" customHeight="1">
      <c r="A79" s="56" t="s">
        <v>30</v>
      </c>
      <c r="B79" t="s">
        <v>31</v>
      </c>
      <c r="J79" s="44"/>
      <c r="K79" s="44"/>
      <c r="L79" s="44"/>
      <c r="M79" s="44"/>
      <c r="N79" s="44"/>
      <c r="O79" s="44"/>
      <c r="P79" s="44"/>
      <c r="Q79" s="44"/>
      <c r="R79" s="44"/>
    </row>
    <row r="80" spans="1:18" ht="12.75">
      <c r="A80" s="56" t="s">
        <v>40</v>
      </c>
      <c r="B80" t="s">
        <v>41</v>
      </c>
      <c r="J80" s="44"/>
      <c r="K80" s="44"/>
      <c r="L80" s="44"/>
      <c r="M80" s="44"/>
      <c r="N80" s="44"/>
      <c r="O80" s="44"/>
      <c r="P80" s="44"/>
      <c r="Q80" s="44"/>
      <c r="R80" s="44"/>
    </row>
    <row r="81" spans="10:18" ht="12.75">
      <c r="J81" s="44"/>
      <c r="K81" s="44"/>
      <c r="L81" s="44"/>
      <c r="M81" s="44"/>
      <c r="N81" s="44"/>
      <c r="O81" s="44"/>
      <c r="P81" s="44"/>
      <c r="Q81" s="44"/>
      <c r="R81" s="44"/>
    </row>
    <row r="82" spans="10:18" ht="12.75">
      <c r="J82" s="44"/>
      <c r="K82" s="44"/>
      <c r="L82" s="44"/>
      <c r="M82" s="44"/>
      <c r="N82" s="44"/>
      <c r="O82" s="44"/>
      <c r="P82" s="44"/>
      <c r="Q82" s="44"/>
      <c r="R82" s="44"/>
    </row>
  </sheetData>
  <mergeCells count="1">
    <mergeCell ref="I3:I4"/>
  </mergeCells>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31"/>
  <dimension ref="A1:R35"/>
  <sheetViews>
    <sheetView zoomScale="90" zoomScaleNormal="90" workbookViewId="0" topLeftCell="A1">
      <selection activeCell="B1" sqref="B1"/>
    </sheetView>
  </sheetViews>
  <sheetFormatPr defaultColWidth="9.140625" defaultRowHeight="12.75"/>
  <cols>
    <col min="1" max="1" width="39.8515625" style="1" customWidth="1"/>
    <col min="2" max="10" width="7.7109375" style="1" customWidth="1"/>
    <col min="11" max="11" width="13.8515625" style="1" customWidth="1"/>
    <col min="12" max="12" width="6.00390625" style="1" customWidth="1"/>
    <col min="13" max="14" width="6.140625" style="1" customWidth="1"/>
    <col min="15" max="18" width="6.7109375" style="1" customWidth="1"/>
  </cols>
  <sheetData>
    <row r="1" spans="1:14" ht="25.5" customHeight="1">
      <c r="A1" s="8" t="s">
        <v>49</v>
      </c>
      <c r="B1" s="9"/>
      <c r="C1" s="9"/>
      <c r="D1" s="9"/>
      <c r="E1" s="9"/>
      <c r="F1" s="10"/>
      <c r="G1" s="9"/>
      <c r="H1" s="9" t="s">
        <v>58</v>
      </c>
      <c r="I1" s="10"/>
      <c r="J1" s="10"/>
      <c r="K1"/>
      <c r="L1" s="9"/>
      <c r="M1"/>
      <c r="N1"/>
    </row>
    <row r="2" spans="1:14" ht="28.5" customHeight="1" thickBot="1">
      <c r="A2" s="7"/>
      <c r="G2"/>
      <c r="H2"/>
      <c r="K2" t="s">
        <v>50</v>
      </c>
      <c r="L2"/>
      <c r="M2"/>
      <c r="N2"/>
    </row>
    <row r="3" spans="1:10" ht="19.5" customHeight="1">
      <c r="A3" s="80" t="s">
        <v>51</v>
      </c>
      <c r="B3" s="81">
        <v>50</v>
      </c>
      <c r="C3" s="82">
        <v>50</v>
      </c>
      <c r="D3" s="82">
        <v>50</v>
      </c>
      <c r="E3" s="82">
        <v>50</v>
      </c>
      <c r="F3" s="82">
        <v>50</v>
      </c>
      <c r="G3" s="82">
        <v>50</v>
      </c>
      <c r="H3" s="82">
        <v>50</v>
      </c>
      <c r="I3" s="83">
        <v>10</v>
      </c>
      <c r="J3" s="83">
        <v>10</v>
      </c>
    </row>
    <row r="4" spans="1:10" ht="18" customHeight="1">
      <c r="A4" s="84" t="s">
        <v>52</v>
      </c>
      <c r="B4" s="85">
        <v>11</v>
      </c>
      <c r="C4" s="86">
        <v>11</v>
      </c>
      <c r="D4" s="86">
        <v>11</v>
      </c>
      <c r="E4" s="86">
        <v>9</v>
      </c>
      <c r="F4" s="86">
        <v>11</v>
      </c>
      <c r="G4" s="86">
        <v>25</v>
      </c>
      <c r="H4" s="86">
        <v>7</v>
      </c>
      <c r="I4" s="87">
        <v>1</v>
      </c>
      <c r="J4" s="87">
        <v>1</v>
      </c>
    </row>
    <row r="5" spans="1:10" ht="19.5" customHeight="1">
      <c r="A5" s="84" t="s">
        <v>53</v>
      </c>
      <c r="B5" s="88">
        <v>1</v>
      </c>
      <c r="C5" s="89">
        <v>1.8</v>
      </c>
      <c r="D5" s="89">
        <v>1</v>
      </c>
      <c r="E5" s="89">
        <v>1.8</v>
      </c>
      <c r="F5" s="89">
        <v>2</v>
      </c>
      <c r="G5" s="89">
        <v>2</v>
      </c>
      <c r="H5" s="89">
        <v>1.6</v>
      </c>
      <c r="I5" s="90">
        <v>1</v>
      </c>
      <c r="J5" s="90">
        <v>1.3</v>
      </c>
    </row>
    <row r="6" spans="1:10" ht="18" customHeight="1">
      <c r="A6" s="84" t="s">
        <v>57</v>
      </c>
      <c r="B6" s="88">
        <v>0</v>
      </c>
      <c r="C6" s="89">
        <v>0</v>
      </c>
      <c r="D6" s="89">
        <v>0.4</v>
      </c>
      <c r="E6" s="89">
        <v>0.4</v>
      </c>
      <c r="F6" s="89">
        <v>0</v>
      </c>
      <c r="G6" s="89">
        <v>0</v>
      </c>
      <c r="H6" s="89">
        <v>0.5</v>
      </c>
      <c r="I6" s="90">
        <v>0.5</v>
      </c>
      <c r="J6" s="90">
        <v>0</v>
      </c>
    </row>
    <row r="7" spans="1:10" ht="19.5" customHeight="1">
      <c r="A7" s="84" t="s">
        <v>54</v>
      </c>
      <c r="B7" s="91">
        <f>SelBurr(B4,B3)/2</f>
        <v>0.660026720343638</v>
      </c>
      <c r="C7" s="92">
        <f aca="true" t="shared" si="0" ref="C7:J7">SelBurr(C4,C3)/2</f>
        <v>0.660026720343638</v>
      </c>
      <c r="D7" s="92">
        <f t="shared" si="0"/>
        <v>0.660026720343638</v>
      </c>
      <c r="E7" s="92">
        <f t="shared" si="0"/>
        <v>0.7135703200769878</v>
      </c>
      <c r="F7" s="92">
        <f>SelBurr(F4,F3)/2</f>
        <v>0.660026720343638</v>
      </c>
      <c r="G7" s="92">
        <f>SelBurr(G4,G3)/2</f>
        <v>0.3927985832422713</v>
      </c>
      <c r="H7" s="92">
        <f>SelBurr(H4,H3)/2</f>
        <v>0.7759764581994042</v>
      </c>
      <c r="I7" s="93">
        <f>SelBurr(I4,I3)/2</f>
        <v>0.7609404402468499</v>
      </c>
      <c r="J7" s="93">
        <f t="shared" si="0"/>
        <v>0.7609404402468499</v>
      </c>
    </row>
    <row r="8" spans="1:18" ht="19.5" customHeight="1" thickBot="1">
      <c r="A8" s="94" t="s">
        <v>55</v>
      </c>
      <c r="B8" s="95">
        <f aca="true" t="shared" si="1" ref="B8:J8">4*B3*B4/(B5*(B3+(1-B6)*(3-B6)*B4))</f>
        <v>26.50602409638554</v>
      </c>
      <c r="C8" s="96">
        <f t="shared" si="1"/>
        <v>14.725568942436412</v>
      </c>
      <c r="D8" s="96">
        <f t="shared" si="1"/>
        <v>32.75759380583681</v>
      </c>
      <c r="E8" s="96">
        <f t="shared" si="1"/>
        <v>15.615240474703308</v>
      </c>
      <c r="F8" s="96">
        <f t="shared" si="1"/>
        <v>13.25301204819277</v>
      </c>
      <c r="G8" s="96">
        <f t="shared" si="1"/>
        <v>20</v>
      </c>
      <c r="H8" s="96">
        <f t="shared" si="1"/>
        <v>14.893617021276595</v>
      </c>
      <c r="I8" s="96">
        <f t="shared" si="1"/>
        <v>3.5555555555555554</v>
      </c>
      <c r="J8" s="111">
        <f t="shared" si="1"/>
        <v>2.3668639053254434</v>
      </c>
      <c r="K8" s="13"/>
      <c r="L8" s="13"/>
      <c r="M8" s="13"/>
      <c r="N8" s="13"/>
      <c r="O8" s="13"/>
      <c r="P8" s="13"/>
      <c r="Q8" s="13"/>
      <c r="R8" s="13"/>
    </row>
    <row r="9" spans="1:18" ht="25.5" customHeight="1">
      <c r="A9"/>
      <c r="B9"/>
      <c r="C9"/>
      <c r="D9"/>
      <c r="E9"/>
      <c r="F9"/>
      <c r="G9"/>
      <c r="H9"/>
      <c r="I9" s="44"/>
      <c r="J9"/>
      <c r="K9"/>
      <c r="L9"/>
      <c r="M9" s="44"/>
      <c r="N9" s="46"/>
      <c r="O9" s="13"/>
      <c r="P9" s="13"/>
      <c r="Q9" s="13"/>
      <c r="R9" s="13"/>
    </row>
    <row r="10" spans="1:14" ht="12.75">
      <c r="A10"/>
      <c r="B10"/>
      <c r="C10"/>
      <c r="D10"/>
      <c r="E10"/>
      <c r="F10"/>
      <c r="G10"/>
      <c r="H10"/>
      <c r="I10" s="44"/>
      <c r="J10"/>
      <c r="K10"/>
      <c r="L10"/>
      <c r="M10" s="44"/>
      <c r="N10"/>
    </row>
    <row r="11" spans="1:14" ht="12.75">
      <c r="A11"/>
      <c r="B11"/>
      <c r="C11"/>
      <c r="D11"/>
      <c r="E11"/>
      <c r="F11"/>
      <c r="G11"/>
      <c r="H11"/>
      <c r="I11" s="44"/>
      <c r="J11"/>
      <c r="K11"/>
      <c r="L11"/>
      <c r="M11" s="44"/>
      <c r="N11"/>
    </row>
    <row r="12" spans="1:14" ht="12.75">
      <c r="A12"/>
      <c r="B12"/>
      <c r="C12"/>
      <c r="D12"/>
      <c r="E12"/>
      <c r="F12"/>
      <c r="G12"/>
      <c r="H12"/>
      <c r="I12"/>
      <c r="J12"/>
      <c r="K12"/>
      <c r="L12"/>
      <c r="M12"/>
      <c r="N12"/>
    </row>
    <row r="13" spans="1:14" ht="12.75">
      <c r="A13"/>
      <c r="B13"/>
      <c r="C13"/>
      <c r="D13"/>
      <c r="E13"/>
      <c r="F13"/>
      <c r="G13"/>
      <c r="H13"/>
      <c r="I13"/>
      <c r="J13"/>
      <c r="K13"/>
      <c r="L13"/>
      <c r="M13"/>
      <c r="N13"/>
    </row>
    <row r="14" spans="1:14" ht="12.75">
      <c r="A14"/>
      <c r="B14"/>
      <c r="C14"/>
      <c r="D14"/>
      <c r="E14"/>
      <c r="F14"/>
      <c r="G14"/>
      <c r="H14"/>
      <c r="I14"/>
      <c r="J14"/>
      <c r="K14"/>
      <c r="L14"/>
      <c r="M14"/>
      <c r="N14"/>
    </row>
    <row r="15" spans="1:14" ht="12.75">
      <c r="A15"/>
      <c r="B15"/>
      <c r="C15"/>
      <c r="D15"/>
      <c r="E15"/>
      <c r="F15"/>
      <c r="G15"/>
      <c r="H15"/>
      <c r="I15"/>
      <c r="J15"/>
      <c r="K15"/>
      <c r="L15"/>
      <c r="M15"/>
      <c r="N15"/>
    </row>
    <row r="16" spans="1:14" ht="12.75">
      <c r="A16"/>
      <c r="B16"/>
      <c r="C16"/>
      <c r="D16"/>
      <c r="E16"/>
      <c r="F16"/>
      <c r="G16"/>
      <c r="H16"/>
      <c r="I16"/>
      <c r="J16"/>
      <c r="K16"/>
      <c r="L16"/>
      <c r="M16"/>
      <c r="N16"/>
    </row>
    <row r="17" spans="1:14" ht="12.75">
      <c r="A17"/>
      <c r="B17"/>
      <c r="C17"/>
      <c r="D17"/>
      <c r="E17"/>
      <c r="F17"/>
      <c r="G17"/>
      <c r="H17"/>
      <c r="I17"/>
      <c r="J17"/>
      <c r="K17"/>
      <c r="L17"/>
      <c r="M17"/>
      <c r="N17"/>
    </row>
    <row r="18" spans="1:14" ht="12.75">
      <c r="A18"/>
      <c r="B18"/>
      <c r="C18"/>
      <c r="D18"/>
      <c r="E18"/>
      <c r="F18"/>
      <c r="G18"/>
      <c r="H18"/>
      <c r="I18"/>
      <c r="J18"/>
      <c r="K18"/>
      <c r="L18"/>
      <c r="M18"/>
      <c r="N18"/>
    </row>
    <row r="19" spans="1:14" ht="12.75">
      <c r="A19"/>
      <c r="B19"/>
      <c r="C19"/>
      <c r="D19"/>
      <c r="E19"/>
      <c r="F19"/>
      <c r="G19"/>
      <c r="H19"/>
      <c r="I19"/>
      <c r="J19"/>
      <c r="K19"/>
      <c r="L19"/>
      <c r="M19"/>
      <c r="N19"/>
    </row>
    <row r="20" spans="1:14" ht="12.75">
      <c r="A20"/>
      <c r="B20"/>
      <c r="C20"/>
      <c r="D20"/>
      <c r="E20"/>
      <c r="F20"/>
      <c r="G20"/>
      <c r="H20"/>
      <c r="I20"/>
      <c r="J20"/>
      <c r="K20"/>
      <c r="L20"/>
      <c r="M20"/>
      <c r="N20"/>
    </row>
    <row r="21" spans="1:14" ht="12.75">
      <c r="A21"/>
      <c r="B21"/>
      <c r="C21"/>
      <c r="D21"/>
      <c r="E21"/>
      <c r="F21"/>
      <c r="G21"/>
      <c r="H21"/>
      <c r="I21"/>
      <c r="J21"/>
      <c r="K21"/>
      <c r="L21"/>
      <c r="M21"/>
      <c r="N21"/>
    </row>
    <row r="22" spans="1:14" ht="12.75">
      <c r="A22"/>
      <c r="B22"/>
      <c r="C22"/>
      <c r="D22"/>
      <c r="E22"/>
      <c r="F22"/>
      <c r="G22"/>
      <c r="H22"/>
      <c r="I22"/>
      <c r="J22"/>
      <c r="K22"/>
      <c r="L22"/>
      <c r="M22"/>
      <c r="N22"/>
    </row>
    <row r="23" spans="1:14" ht="12.75">
      <c r="A23"/>
      <c r="B23"/>
      <c r="C23"/>
      <c r="D23"/>
      <c r="E23"/>
      <c r="F23"/>
      <c r="G23"/>
      <c r="H23"/>
      <c r="I23"/>
      <c r="J23"/>
      <c r="K23"/>
      <c r="L23"/>
      <c r="M23"/>
      <c r="N23"/>
    </row>
    <row r="24" spans="1:14" ht="12.75">
      <c r="A24"/>
      <c r="B24"/>
      <c r="C24"/>
      <c r="D24"/>
      <c r="E24"/>
      <c r="F24"/>
      <c r="G24"/>
      <c r="H24"/>
      <c r="I24"/>
      <c r="J24"/>
      <c r="K24"/>
      <c r="L24"/>
      <c r="M24"/>
      <c r="N24"/>
    </row>
    <row r="25" spans="1:14" ht="12.75">
      <c r="A25"/>
      <c r="B25"/>
      <c r="C25"/>
      <c r="D25"/>
      <c r="E25"/>
      <c r="F25"/>
      <c r="G25"/>
      <c r="H25"/>
      <c r="I25"/>
      <c r="J25"/>
      <c r="K25"/>
      <c r="L25"/>
      <c r="M25"/>
      <c r="N25"/>
    </row>
    <row r="26" spans="1:14" ht="12.75">
      <c r="A26"/>
      <c r="B26"/>
      <c r="C26"/>
      <c r="D26"/>
      <c r="E26"/>
      <c r="F26"/>
      <c r="G26"/>
      <c r="H26"/>
      <c r="I26"/>
      <c r="J26"/>
      <c r="K26"/>
      <c r="L26"/>
      <c r="M26"/>
      <c r="N26"/>
    </row>
    <row r="27" spans="1:14" ht="12.75">
      <c r="A27"/>
      <c r="B27"/>
      <c r="C27"/>
      <c r="E27"/>
      <c r="G27"/>
      <c r="H27"/>
      <c r="I27"/>
      <c r="J27"/>
      <c r="K27"/>
      <c r="L27"/>
      <c r="M27"/>
      <c r="N27"/>
    </row>
    <row r="28" spans="1:18" ht="12.75">
      <c r="A28"/>
      <c r="B28"/>
      <c r="C28"/>
      <c r="E28"/>
      <c r="G28" s="48"/>
      <c r="H28"/>
      <c r="I28"/>
      <c r="J28"/>
      <c r="K28"/>
      <c r="L28"/>
      <c r="M28"/>
      <c r="N28"/>
      <c r="O28" s="4"/>
      <c r="P28" s="4"/>
      <c r="Q28" s="4"/>
      <c r="R28" s="4"/>
    </row>
    <row r="29" spans="1:14" ht="12.75">
      <c r="A29"/>
      <c r="B29"/>
      <c r="C29"/>
      <c r="E29"/>
      <c r="G29"/>
      <c r="H29"/>
      <c r="I29"/>
      <c r="J29"/>
      <c r="K29"/>
      <c r="L29"/>
      <c r="M29"/>
      <c r="N29"/>
    </row>
    <row r="30" spans="1:14" ht="12.75">
      <c r="A30"/>
      <c r="B30"/>
      <c r="C30"/>
      <c r="E30"/>
      <c r="G30"/>
      <c r="H30"/>
      <c r="I30"/>
      <c r="J30"/>
      <c r="K30"/>
      <c r="L30"/>
      <c r="M30"/>
      <c r="N30"/>
    </row>
    <row r="31" ht="12.75">
      <c r="N31"/>
    </row>
    <row r="32" ht="12.75">
      <c r="N32"/>
    </row>
    <row r="33" ht="12.75">
      <c r="N33"/>
    </row>
    <row r="34" ht="12.75">
      <c r="N34"/>
    </row>
    <row r="35" ht="12.75">
      <c r="N35"/>
    </row>
  </sheetData>
  <printOptions/>
  <pageMargins left="0.75" right="0.75" top="1" bottom="1" header="0.5" footer="0.5"/>
  <pageSetup horizontalDpi="600" verticalDpi="600" orientation="portrait" paperSize="9" r:id="rId7"/>
  <drawing r:id="rId6"/>
  <legacyDrawing r:id="rId5"/>
  <oleObjects>
    <oleObject progId="Equation.3" shapeId="26671363" r:id="rId2"/>
    <oleObject progId="Equation.3" shapeId="26671365" r:id="rId3"/>
    <oleObject progId="Equation.3" shapeId="147267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Dag Lindgren</Manager>
  <Company>SLU, S-901 83 Umeå</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Seed orchard management</dc:title>
  <dc:subject/>
  <dc:creator>Kyu-Suk Kang</dc:creator>
  <cp:keywords/>
  <dc:description>Distributed on a public FTP server</dc:description>
  <cp:lastModifiedBy>Dag Lindgren</cp:lastModifiedBy>
  <cp:lastPrinted>1998-07-20T13:32:39Z</cp:lastPrinted>
  <dcterms:created xsi:type="dcterms:W3CDTF">1995-12-19T06:57:58Z</dcterms:created>
  <dcterms:modified xsi:type="dcterms:W3CDTF">2001-08-01T10:30:14Z</dcterms:modified>
  <cp:category/>
  <cp:version/>
  <cp:contentType/>
  <cp:contentStatus/>
</cp:coreProperties>
</file>