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9510" tabRatio="652" activeTab="5"/>
  </bookViews>
  <sheets>
    <sheet name="Explanations" sheetId="1" r:id="rId1"/>
    <sheet name="Simple" sheetId="2" r:id="rId2"/>
    <sheet name="Intro, Trunc" sheetId="3" r:id="rId3"/>
    <sheet name="Establishment" sheetId="4" r:id="rId4"/>
    <sheet name="Example1" sheetId="5" r:id="rId5"/>
    <sheet name="Thinning (2)" sheetId="6" r:id="rId6"/>
    <sheet name="Thinning" sheetId="7" r:id="rId7"/>
    <sheet name="Example2" sheetId="8" r:id="rId8"/>
  </sheets>
  <definedNames>
    <definedName name="solver_adj" localSheetId="5" hidden="1">'Thinning (2)'!$F$10</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hs1" localSheetId="5" hidden="1">'Thinning (2)'!$F$9</definedName>
    <definedName name="solver_lin" localSheetId="5" hidden="1">2</definedName>
    <definedName name="solver_neg" localSheetId="5" hidden="1">2</definedName>
    <definedName name="solver_num" localSheetId="5" hidden="1">1</definedName>
    <definedName name="solver_nwt" localSheetId="5" hidden="1">1</definedName>
    <definedName name="solver_opt" localSheetId="5" hidden="1">'Thinning (2)'!$F$8</definedName>
    <definedName name="solver_pre" localSheetId="5" hidden="1">0.000001</definedName>
    <definedName name="solver_rel1" localSheetId="5" hidden="1">3</definedName>
    <definedName name="solver_rhs1" localSheetId="5" hidden="1">'Thinning (2)'!$L$9</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1</definedName>
    <definedName name="solver_val" localSheetId="5" hidden="1">0</definedName>
  </definedNames>
  <calcPr fullCalcOnLoad="1"/>
</workbook>
</file>

<file path=xl/comments1.xml><?xml version="1.0" encoding="utf-8"?>
<comments xmlns="http://schemas.openxmlformats.org/spreadsheetml/2006/main">
  <authors>
    <author>Dag Lindgren</author>
    <author>dagl</author>
  </authors>
  <commentList>
    <comment ref="F2" authorId="0">
      <text>
        <r>
          <rPr>
            <b/>
            <sz val="8"/>
            <rFont val="Tahoma"/>
            <family val="0"/>
          </rPr>
          <t>Dag Lindgren:</t>
        </r>
        <r>
          <rPr>
            <sz val="8"/>
            <rFont val="Tahoma"/>
            <family val="0"/>
          </rPr>
          <t xml:space="preserve">
</t>
        </r>
        <r>
          <rPr>
            <b/>
            <sz val="8"/>
            <color indexed="17"/>
            <rFont val="Tahoma"/>
            <family val="2"/>
          </rPr>
          <t>Program development</t>
        </r>
        <r>
          <rPr>
            <sz val="8"/>
            <rFont val="Tahoma"/>
            <family val="0"/>
          </rPr>
          <t xml:space="preserve">
Programs may have their evolution. Some programs will be further developed. A recently created file is rather likely to be the object for improvement and a new version may appear. Old EXCEL-files are not likely to change or be severely wrong. Many of them could be improved (management of non actual programs is not considered a major task for me), but when it is likely to be as quite new programs. I often keep older versions available (it is also a service for those who do not use updated computer systems). 
</t>
        </r>
        <r>
          <rPr>
            <b/>
            <sz val="8"/>
            <color indexed="17"/>
            <rFont val="Tahoma"/>
            <family val="2"/>
          </rPr>
          <t>Computer peculiarities</t>
        </r>
        <r>
          <rPr>
            <sz val="8"/>
            <rFont val="Tahoma"/>
            <family val="0"/>
          </rPr>
          <t xml:space="preserve">
Much of what occurs on your screen is related to your local circumstances, and thus not controlled by me. How the texts appear on screen may be up to your computer settings. Often the font used is just the default. Non-Latin characters (e.g. the Swedish letters and many symbols) may vanish or appear odd. The screen size, screen setting and magnification are factors which partly depend on your own settings or circumstances, but matters for how your view appears. You may, especially at first glance, find it annoying that too much information is available, and that you can find more things both rightwards and downwards. To get an overview, you can try a lower magnification percentage. To widen columns may sometimes help when the cell is not readable. MS equation editor has been used for explanatory reasons (to understand a formula by the references in a cell is difficult), but many computers have not this facility installed, and if so you may only see empty boxes. 
</t>
        </r>
        <r>
          <rPr>
            <b/>
            <sz val="8"/>
            <color indexed="17"/>
            <rFont val="Tahoma"/>
            <family val="2"/>
          </rPr>
          <t>Copyright</t>
        </r>
        <r>
          <rPr>
            <sz val="8"/>
            <rFont val="Tahoma"/>
            <family val="0"/>
          </rPr>
          <t xml:space="preserve">
I allow the user of this EXCEL work book copying, using, developing, changing or extracting from the files. I do not give up the formal copyright if I own it, but I promise this will not cause trouble for any reasonable and foreseeable use. 
</t>
        </r>
        <r>
          <rPr>
            <b/>
            <sz val="8"/>
            <color indexed="17"/>
            <rFont val="Tahoma"/>
            <family val="2"/>
          </rPr>
          <t>Mistakes</t>
        </r>
        <r>
          <rPr>
            <sz val="8"/>
            <rFont val="Tahoma"/>
            <family val="0"/>
          </rPr>
          <t xml:space="preserve">
I often make mistakes, thus some formulas or interpretations may be erroneous. Please focus my attention if you suspect this may be the case in a special situation! Some mistakes I detect myself. Thus, mistakes are more likely in a recently introduced feature, than in one which has existed for a long time. Thus, be more conservative against innovations and check sometimes if there are new versions.
</t>
        </r>
        <r>
          <rPr>
            <b/>
            <sz val="8"/>
            <color indexed="17"/>
            <rFont val="Tahoma"/>
            <family val="2"/>
          </rPr>
          <t>Disclaimer</t>
        </r>
        <r>
          <rPr>
            <sz val="8"/>
            <rFont val="Tahoma"/>
            <family val="0"/>
          </rPr>
          <t xml:space="preserve">
I do not accept any formal or legal responsibility for anything, which may happen if you use this workbook or let the suggested values or information lead your decisions. My sincere guess is, however, that such use will not cause the end of your world.
</t>
        </r>
        <r>
          <rPr>
            <b/>
            <sz val="8"/>
            <color indexed="17"/>
            <rFont val="Tahoma"/>
            <family val="2"/>
          </rPr>
          <t>Genetic particulars</t>
        </r>
        <r>
          <rPr>
            <sz val="8"/>
            <rFont val="Tahoma"/>
            <family val="0"/>
          </rPr>
          <t xml:space="preserve">
Usually only a single character on a single site is considered. This "character" can, however, be an index considering several characters, sites and tests, so this is not as severe constraint, as it may appear at first sight.
</t>
        </r>
        <r>
          <rPr>
            <b/>
            <sz val="8"/>
            <color indexed="17"/>
            <rFont val="Tahoma"/>
            <family val="2"/>
          </rPr>
          <t>Difficulties??</t>
        </r>
        <r>
          <rPr>
            <sz val="8"/>
            <rFont val="Tahoma"/>
            <family val="0"/>
          </rPr>
          <t xml:space="preserve">
If you find it difficult and time-consuming to use our programmes, that certainly is a feeling you share with many others. I appreciate feed back, preferable by E-mail. I may try to help you. If there is something particular you do not understand, I will probably remain unaware of the difficulty or mistake, if someone do not tell me. It is much too easy to be misleading or to make mistakes! To improve transparency, user contacts are extremely valuable. It would be nice to know to what extent people outside my known collaborators find this development of genetic worksheets a valuable service. I get little feed back (unless when I have specifically asked for it), which makes me a bit disappointed.
  Your machine may not be compatible with the modern EXCEL versions or does not work with my files for some other reason. Do not give up understanding too soon! Did you look at all explaining text? Maybe you are in the wrong sheet in the workbook? Clicking at the bottom menu changes sheets! Or you may not have looked at the right place of the sheet; you may be able to see only a part of the sheet, in particular if you have a small screen or a high magnification setting (you can change the magnification yourself). You may miss something important, if you do not search over the whole sheet. There may be more information elsewhere, so try some trial and error before quitting!
  If you change cells meant for output, that harms the function of the workbook. Usually nothing prevents you from inserting "impossible" entries. A common reason for odd, not interpretable or no results is that an unreasonable value has been entered. You can insert big values or get output with many digits, resulting in confusing symbols on the screen in spite of that everything actually works and you can see the results if you widen the columns. Language settings may cause problems; e.g. EXCEL in Swedish setting is too stupid to recognise decimal points (program developers often do not comprehend all type of problems met by different flavours of the majority of the world which is not English).
  One useful question when you get a result, which does not appeal to you, is if you have addressed the right question. A common mistake is to get the right answer on the wrong question. Also you may sometimes distrust your intuition. Sometimes I have found that results I regarded as contra-intuitive were right, and when I learned something.
</t>
        </r>
        <r>
          <rPr>
            <b/>
            <sz val="8"/>
            <color indexed="17"/>
            <rFont val="Tahoma"/>
            <family val="2"/>
          </rPr>
          <t>Why EXCEL?</t>
        </r>
        <r>
          <rPr>
            <sz val="8"/>
            <rFont val="Tahoma"/>
            <family val="0"/>
          </rPr>
          <t xml:space="preserve">
EXCEL is available on many computers all over the world and most forest tree breeders and forest geneticists are able to use it, so I guessed the best way to create generally available tools was to use EXCEL. 
The EXCEL (.XLS) files were mostly developed as workbooks for Windows. The sheets often also contains insertions, e.g. from MS Word or MS Equation, these are not essential for the function, but may be relevant for the understanding. A Mac may add to these transcription problems (I use MS). In mid November 97 I started using EXCEL in 97 years version. New programs and updated versions of the old are made in 97 version of EXCEL, but old versions are sometimes kept on the site for some time.
I guess the EXCEL work books can be helpful if you adapt them to own problems, even in the case you can not use the worksheets as they are organised. If you understand how the worksheets work, you may extend or fine-tune them to your own problem; they may serve as useful templates for further development. They are also intended to serve a pedagogical purpose; they offer a way to understand concepts I feel important. They may even serve as collections of relevant formulas.
</t>
        </r>
      </text>
    </comment>
    <comment ref="H2" authorId="0">
      <text>
        <r>
          <rPr>
            <sz val="8"/>
            <rFont val="Tahoma"/>
            <family val="0"/>
          </rPr>
          <t xml:space="preserve">The initial settings sometimes carry messages. 
</t>
        </r>
      </text>
    </comment>
    <comment ref="H3" authorId="0">
      <text>
        <r>
          <rPr>
            <sz val="8"/>
            <rFont val="Tahoma"/>
            <family val="0"/>
          </rPr>
          <t>The following seven fields examplifie the meaning of different colors and fonts.</t>
        </r>
      </text>
    </comment>
    <comment ref="I3" authorId="0">
      <text>
        <r>
          <rPr>
            <sz val="8"/>
            <rFont val="Tahoma"/>
            <family val="0"/>
          </rPr>
          <t xml:space="preserve">The </t>
        </r>
        <r>
          <rPr>
            <b/>
            <sz val="8"/>
            <color indexed="10"/>
            <rFont val="Tahoma"/>
            <family val="2"/>
          </rPr>
          <t>red figures with yellow (or tan) backgound</t>
        </r>
        <r>
          <rPr>
            <sz val="8"/>
            <color indexed="10"/>
            <rFont val="Tahoma"/>
            <family val="2"/>
          </rPr>
          <t xml:space="preserve"> </t>
        </r>
        <r>
          <rPr>
            <sz val="8"/>
            <rFont val="Tahoma"/>
            <family val="0"/>
          </rPr>
          <t>are meant to be changed by the user.</t>
        </r>
      </text>
    </comment>
    <comment ref="J3" authorId="0">
      <text>
        <r>
          <rPr>
            <sz val="8"/>
            <rFont val="Tahoma"/>
            <family val="0"/>
          </rPr>
          <t xml:space="preserve">The </t>
        </r>
        <r>
          <rPr>
            <b/>
            <i/>
            <sz val="8"/>
            <color indexed="10"/>
            <rFont val="Tahoma"/>
            <family val="2"/>
          </rPr>
          <t>red figures in italics</t>
        </r>
        <r>
          <rPr>
            <sz val="8"/>
            <rFont val="Tahoma"/>
            <family val="0"/>
          </rPr>
          <t xml:space="preserve"> are better not to be changed unless you are confident in what you are doing! But once you understand the more sophisticated details of the worksheet you may find it very useful to be able to control these.</t>
        </r>
      </text>
    </comment>
    <comment ref="K3" authorId="0">
      <text>
        <r>
          <rPr>
            <b/>
            <sz val="8"/>
            <color indexed="12"/>
            <rFont val="Tahoma"/>
            <family val="2"/>
          </rPr>
          <t>Bold values in blue with yellow background</t>
        </r>
        <r>
          <rPr>
            <sz val="8"/>
            <rFont val="Tahoma"/>
            <family val="0"/>
          </rPr>
          <t xml:space="preserve"> are considered main result. Do not change blue values, because when the workbook will not work!</t>
        </r>
      </text>
    </comment>
    <comment ref="L3" authorId="0">
      <text>
        <r>
          <rPr>
            <sz val="8"/>
            <color indexed="12"/>
            <rFont val="Tahoma"/>
            <family val="2"/>
          </rPr>
          <t>Unbolded values in blue</t>
        </r>
        <r>
          <rPr>
            <sz val="8"/>
            <rFont val="Tahoma"/>
            <family val="0"/>
          </rPr>
          <t xml:space="preserve"> are considered minor or intermediary results. Do not change blue values, because when the workbook will not work!</t>
        </r>
      </text>
    </comment>
    <comment ref="M3" authorId="0">
      <text>
        <r>
          <rPr>
            <sz val="8"/>
            <rFont val="Tahoma"/>
            <family val="0"/>
          </rPr>
          <t>Cell need to be moved later or content need to be changed</t>
        </r>
      </text>
    </comment>
    <comment ref="N3" authorId="0">
      <text>
        <r>
          <rPr>
            <sz val="8"/>
            <rFont val="Tahoma"/>
            <family val="0"/>
          </rPr>
          <t>This indicates characteristics of the clones selected for use in a seed orchard. The specific details for the choosen clones can be changed at will. Less important input or output can be in unbolded.</t>
        </r>
      </text>
    </comment>
    <comment ref="O3" authorId="0">
      <text>
        <r>
          <rPr>
            <sz val="8"/>
            <rFont val="Tahoma"/>
            <family val="0"/>
          </rPr>
          <t>These cells are used by the worksheet and should not be overwritten, but the information is seen as unnessary by the normal user. However it can be made visible by changing colour.</t>
        </r>
      </text>
    </comment>
    <comment ref="D2" authorId="0">
      <text>
        <r>
          <rPr>
            <sz val="8"/>
            <rFont val="Tahoma"/>
            <family val="0"/>
          </rPr>
          <t>I am indebted to Matti Haapanen, YongQi Zheng, Torgny Persson, Tim Mullin, Kyu-Suk Kang and Darius Danusevecius , who have spend some time to test this program or its preceeders and communicated their impressions back to me, and thus helping me to get it better and more understandable.</t>
        </r>
      </text>
    </comment>
    <comment ref="P3" authorId="0">
      <text>
        <r>
          <rPr>
            <b/>
            <sz val="8"/>
            <rFont val="Tahoma"/>
            <family val="0"/>
          </rPr>
          <t>Dag Lindgren:</t>
        </r>
        <r>
          <rPr>
            <sz val="8"/>
            <rFont val="Tahoma"/>
            <family val="0"/>
          </rPr>
          <t xml:space="preserve">
Values I like to put attention on</t>
        </r>
      </text>
    </comment>
    <comment ref="A3" authorId="1">
      <text>
        <r>
          <rPr>
            <b/>
            <sz val="8"/>
            <rFont val="Tahoma"/>
            <family val="0"/>
          </rPr>
          <t>dagl:</t>
        </r>
        <r>
          <rPr>
            <sz val="8"/>
            <rFont val="Tahoma"/>
            <family val="0"/>
          </rPr>
          <t xml:space="preserve">
The EXCEL work book named "LINEAR_DEPLOYMENT.XLS" was created by Dag Lingren 1997. One new sheet was added 1999-03-10.</t>
        </r>
      </text>
    </comment>
  </commentList>
</comments>
</file>

<file path=xl/comments2.xml><?xml version="1.0" encoding="utf-8"?>
<comments xmlns="http://schemas.openxmlformats.org/spreadsheetml/2006/main">
  <authors>
    <author>Dag Lindgren</author>
    <author>dagl</author>
  </authors>
  <commentList>
    <comment ref="B2" authorId="0">
      <text>
        <r>
          <rPr>
            <sz val="8"/>
            <rFont val="Tahoma"/>
            <family val="0"/>
          </rPr>
          <t>Insert the lowest genetic value you want to be represented (g0)</t>
        </r>
      </text>
    </comment>
    <comment ref="C1" authorId="0">
      <text>
        <r>
          <rPr>
            <sz val="8"/>
            <rFont val="Tahoma"/>
            <family val="0"/>
          </rPr>
          <t xml:space="preserve">Input genetic values (breeding values) in this column. If the list is longer than the green field, adjustment is needed!
</t>
        </r>
      </text>
    </comment>
    <comment ref="B1" authorId="0">
      <text>
        <r>
          <rPr>
            <b/>
            <sz val="8"/>
            <rFont val="Tahoma"/>
            <family val="0"/>
          </rPr>
          <t xml:space="preserve">This spreadsheet was constructed by Dag Lindgren 2000
</t>
        </r>
        <r>
          <rPr>
            <sz val="8"/>
            <rFont val="Tahoma"/>
            <family val="0"/>
          </rPr>
          <t>Last edit 2003-01-21</t>
        </r>
      </text>
    </comment>
    <comment ref="D1" authorId="0">
      <text>
        <r>
          <rPr>
            <sz val="8"/>
            <rFont val="Tahoma"/>
            <family val="0"/>
          </rPr>
          <t>Suggested linear deployment proportions can be read in this column, thus how large proportions a clone should be represented in.</t>
        </r>
      </text>
    </comment>
    <comment ref="E1" authorId="1">
      <text>
        <r>
          <rPr>
            <sz val="8"/>
            <rFont val="Tahoma"/>
            <family val="0"/>
          </rPr>
          <t>In this column are calculations you do not need to see for the end result</t>
        </r>
      </text>
    </comment>
    <comment ref="B4" authorId="1">
      <text>
        <r>
          <rPr>
            <sz val="8"/>
            <rFont val="Tahoma"/>
            <family val="0"/>
          </rPr>
          <t>This is effective number of clones</t>
        </r>
      </text>
    </comment>
    <comment ref="C51" authorId="0">
      <text>
        <r>
          <rPr>
            <b/>
            <sz val="8"/>
            <rFont val="Tahoma"/>
            <family val="0"/>
          </rPr>
          <t>If more values are wanted, rows must be inserted above this one!</t>
        </r>
      </text>
    </comment>
    <comment ref="D51" authorId="0">
      <text>
        <r>
          <rPr>
            <b/>
            <sz val="8"/>
            <rFont val="Tahoma"/>
            <family val="0"/>
          </rPr>
          <t>If more values are wanted, rows must be inserted above this one!</t>
        </r>
      </text>
    </comment>
    <comment ref="E51" authorId="0">
      <text>
        <r>
          <rPr>
            <b/>
            <sz val="8"/>
            <rFont val="Tahoma"/>
            <family val="0"/>
          </rPr>
          <t>If more values are wanted, rows must be inserted above this one!</t>
        </r>
      </text>
    </comment>
  </commentList>
</comments>
</file>

<file path=xl/comments4.xml><?xml version="1.0" encoding="utf-8"?>
<comments xmlns="http://schemas.openxmlformats.org/spreadsheetml/2006/main">
  <authors>
    <author>Dag Lindgren</author>
    <author>Darius</author>
    <author>dagl</author>
  </authors>
  <commentList>
    <comment ref="B5" authorId="0">
      <text>
        <r>
          <rPr>
            <b/>
            <sz val="8"/>
            <rFont val="Tahoma"/>
            <family val="0"/>
          </rPr>
          <t>Genetic gain</t>
        </r>
      </text>
    </comment>
    <comment ref="B6" authorId="0">
      <text>
        <r>
          <rPr>
            <b/>
            <sz val="8"/>
            <rFont val="Tahoma"/>
            <family val="2"/>
          </rPr>
          <t>Effective number of clones in the seed orchard (for truncation=equal proportions= census clone number). 
With the additional assumption of random mating,  Ne linking clones and their seeds becomes the effective number in inbreeding sense.</t>
        </r>
      </text>
    </comment>
    <comment ref="B7" authorId="0">
      <text>
        <r>
          <rPr>
            <b/>
            <sz val="8"/>
            <rFont val="Tahoma"/>
            <family val="0"/>
          </rPr>
          <t>intercept for optimal line</t>
        </r>
        <r>
          <rPr>
            <sz val="8"/>
            <rFont val="Tahoma"/>
            <family val="0"/>
          </rPr>
          <t xml:space="preserve">
</t>
        </r>
      </text>
    </comment>
    <comment ref="B8" authorId="0">
      <text>
        <r>
          <rPr>
            <b/>
            <sz val="8"/>
            <rFont val="Tahoma"/>
            <family val="0"/>
          </rPr>
          <t>slope of optimal line</t>
        </r>
        <r>
          <rPr>
            <sz val="8"/>
            <rFont val="Tahoma"/>
            <family val="0"/>
          </rPr>
          <t xml:space="preserve">
</t>
        </r>
      </text>
    </comment>
    <comment ref="A15" authorId="0">
      <text>
        <r>
          <rPr>
            <b/>
            <sz val="8"/>
            <rFont val="Tahoma"/>
            <family val="0"/>
          </rPr>
          <t>Clone ID,  it does not matter what you insert here.</t>
        </r>
        <r>
          <rPr>
            <sz val="8"/>
            <rFont val="Tahoma"/>
            <family val="2"/>
          </rPr>
          <t xml:space="preserve">
Initially numbers are used except the first and last value
ex</t>
        </r>
      </text>
    </comment>
    <comment ref="B15" authorId="0">
      <text>
        <r>
          <rPr>
            <b/>
            <sz val="8"/>
            <rFont val="Tahoma"/>
            <family val="0"/>
          </rPr>
          <t>Breeding value (or genetic value for clonal forestry)</t>
        </r>
        <r>
          <rPr>
            <sz val="8"/>
            <rFont val="Tahoma"/>
            <family val="0"/>
          </rPr>
          <t xml:space="preserve">
</t>
        </r>
      </text>
    </comment>
    <comment ref="C15" authorId="0">
      <text>
        <r>
          <rPr>
            <b/>
            <sz val="8"/>
            <rFont val="Tahoma"/>
            <family val="0"/>
          </rPr>
          <t>Suggested ramet number of the particular clone, this can be set by changing b once g0 fixed.</t>
        </r>
      </text>
    </comment>
    <comment ref="D15" authorId="0">
      <text>
        <r>
          <rPr>
            <b/>
            <sz val="8"/>
            <rFont val="Tahoma"/>
            <family val="0"/>
          </rPr>
          <t>Suggested optimal proportion of clones</t>
        </r>
        <r>
          <rPr>
            <sz val="8"/>
            <rFont val="Tahoma"/>
            <family val="0"/>
          </rPr>
          <t xml:space="preserve">
</t>
        </r>
      </text>
    </comment>
    <comment ref="E15" authorId="0">
      <text>
        <r>
          <rPr>
            <b/>
            <sz val="8"/>
            <rFont val="Tahoma"/>
            <family val="0"/>
          </rPr>
          <t>Suggested ramet number of the particulat clone, this can be set by changing b once g0 fixed:</t>
        </r>
        <r>
          <rPr>
            <sz val="8"/>
            <rFont val="Tahoma"/>
            <family val="0"/>
          </rPr>
          <t xml:space="preserve">
</t>
        </r>
      </text>
    </comment>
    <comment ref="F15" authorId="0">
      <text>
        <r>
          <rPr>
            <b/>
            <sz val="8"/>
            <rFont val="Tahoma"/>
            <family val="0"/>
          </rPr>
          <t>Suggested optimal proportion of clones</t>
        </r>
        <r>
          <rPr>
            <sz val="8"/>
            <rFont val="Tahoma"/>
            <family val="0"/>
          </rPr>
          <t xml:space="preserve">
</t>
        </r>
      </text>
    </comment>
    <comment ref="G15" authorId="0">
      <text>
        <r>
          <rPr>
            <b/>
            <sz val="8"/>
            <rFont val="Tahoma"/>
            <family val="0"/>
          </rPr>
          <t xml:space="preserve">Proportions following selections of </t>
        </r>
        <r>
          <rPr>
            <b/>
            <sz val="8"/>
            <color indexed="10"/>
            <rFont val="Tahoma"/>
            <family val="2"/>
          </rPr>
          <t>the number of clones given above</t>
        </r>
        <r>
          <rPr>
            <b/>
            <sz val="8"/>
            <rFont val="Tahoma"/>
            <family val="0"/>
          </rPr>
          <t xml:space="preserve"> in equal proportions. Should you want to insert(equal)  ramet numbers instead, you may use the custom alternative.</t>
        </r>
        <r>
          <rPr>
            <sz val="8"/>
            <rFont val="Tahoma"/>
            <family val="0"/>
          </rPr>
          <t xml:space="preserve">
</t>
        </r>
      </text>
    </comment>
    <comment ref="C7" authorId="0">
      <text>
        <r>
          <rPr>
            <b/>
            <sz val="8"/>
            <color indexed="10"/>
            <rFont val="Tahoma"/>
            <family val="2"/>
          </rPr>
          <t>This is the intercept, which is one of the most important entries. Note that intended entries are in red. If you change other cells, you may destroy the worksheet.</t>
        </r>
        <r>
          <rPr>
            <sz val="8"/>
            <rFont val="Tahoma"/>
            <family val="0"/>
          </rPr>
          <t xml:space="preserve">
</t>
        </r>
      </text>
    </comment>
    <comment ref="B16" authorId="0">
      <text>
        <r>
          <rPr>
            <b/>
            <sz val="8"/>
            <color indexed="10"/>
            <rFont val="Tahoma"/>
            <family val="2"/>
          </rPr>
          <t>The sample genetic values initially found on this sheet are 36 breeding values from a real orchard,  which have been standardized, so the mean is 0 and the variance 1, this standarisation is not necessary,  but offers advantages. The values are identified by the relevant rank, but any identification will work. You can glue or type in your own values, but first regulate that you have the right number of rows for your data!</t>
        </r>
        <r>
          <rPr>
            <sz val="8"/>
            <rFont val="Tahoma"/>
            <family val="0"/>
          </rPr>
          <t xml:space="preserve">
</t>
        </r>
      </text>
    </comment>
    <comment ref="D5" authorId="0">
      <text>
        <r>
          <rPr>
            <b/>
            <sz val="8"/>
            <color indexed="12"/>
            <rFont val="Tahoma"/>
            <family val="2"/>
          </rPr>
          <t>Note that results generated by the program are in blue, the work sheet will be destroed if you change blue values.</t>
        </r>
      </text>
    </comment>
    <comment ref="A16" authorId="0">
      <text>
        <r>
          <rPr>
            <sz val="8"/>
            <rFont val="Tahoma"/>
            <family val="0"/>
          </rPr>
          <t>Here it does not matter what is written, you can insert own identifications
At present there are cardinal (rank) numbers.</t>
        </r>
      </text>
    </comment>
    <comment ref="G6" authorId="0">
      <text>
        <r>
          <rPr>
            <sz val="8"/>
            <rFont val="Tahoma"/>
            <family val="0"/>
          </rPr>
          <t xml:space="preserve">Integer for comparison with truncation selection. To make an exact comparison, linear deployment must be adjusted to this number. 
</t>
        </r>
      </text>
    </comment>
    <comment ref="E7" authorId="0">
      <text>
        <r>
          <rPr>
            <sz val="8"/>
            <rFont val="Tahoma"/>
            <family val="0"/>
          </rPr>
          <t xml:space="preserve">Start with a value below the BV of a clone you want accepted. Change till Ne get the desired value
</t>
        </r>
      </text>
    </comment>
    <comment ref="E8" authorId="0">
      <text>
        <r>
          <rPr>
            <sz val="8"/>
            <rFont val="Tahoma"/>
            <family val="0"/>
          </rPr>
          <t xml:space="preserve">Change this after the value above. It controls the number of ramets.
</t>
        </r>
      </text>
    </comment>
    <comment ref="C16" authorId="0">
      <text>
        <r>
          <rPr>
            <sz val="8"/>
            <rFont val="Tahoma"/>
            <family val="0"/>
          </rPr>
          <t>If there are constraints on the number of ramets, the worksheet designed for orchard thinning can be used. If you in some other way come to a conclusion about the number of ramets (e.g. you may intuitively feel that the overrepresentation of the best is too high) you can use the left most column to insert your own suggestion for proportions and check if you are willing to pay the loss compared to the optimal.</t>
        </r>
      </text>
    </comment>
    <comment ref="A6" authorId="0">
      <text>
        <r>
          <rPr>
            <b/>
            <sz val="8"/>
            <rFont val="Tahoma"/>
            <family val="0"/>
          </rPr>
          <t>This cell counts the number of breeding values inserted in column B between the first and last yellow field, note that empty cells are not counted.</t>
        </r>
      </text>
    </comment>
    <comment ref="I10" authorId="0">
      <text>
        <r>
          <rPr>
            <b/>
            <sz val="8"/>
            <rFont val="Tahoma"/>
            <family val="0"/>
          </rPr>
          <t>Sum of proportions has to be one!</t>
        </r>
      </text>
    </comment>
    <comment ref="I15" authorId="0">
      <text>
        <r>
          <rPr>
            <b/>
            <sz val="8"/>
            <rFont val="Tahoma"/>
            <family val="0"/>
          </rPr>
          <t>Your own suggestion about  proportion of clones. All cells in the range should contain value which are not negative and add up to 1.</t>
        </r>
      </text>
    </comment>
    <comment ref="A11" authorId="0">
      <text>
        <r>
          <rPr>
            <b/>
            <sz val="8"/>
            <rFont val="Tahoma"/>
            <family val="0"/>
          </rPr>
          <t>These means of the table values have no significance for the calculations</t>
        </r>
      </text>
    </comment>
    <comment ref="C56" authorId="0">
      <text>
        <r>
          <rPr>
            <b/>
            <sz val="8"/>
            <rFont val="Tahoma"/>
            <family val="0"/>
          </rPr>
          <t>Penalty for having the same clone in many copies. Note that this penalty is half that of the penalty for group coancestry in GMS</t>
        </r>
        <r>
          <rPr>
            <sz val="8"/>
            <rFont val="Tahoma"/>
            <family val="0"/>
          </rPr>
          <t xml:space="preserve">
</t>
        </r>
      </text>
    </comment>
    <comment ref="C57" authorId="0">
      <text>
        <r>
          <rPr>
            <b/>
            <sz val="8"/>
            <rFont val="Tahoma"/>
            <family val="0"/>
          </rPr>
          <t>Benefit of the seed orchard. (Gain with deduction for high proportion of clones).</t>
        </r>
        <r>
          <rPr>
            <sz val="8"/>
            <rFont val="Tahoma"/>
            <family val="0"/>
          </rPr>
          <t xml:space="preserve">
</t>
        </r>
      </text>
    </comment>
    <comment ref="E56" authorId="0">
      <text>
        <r>
          <rPr>
            <b/>
            <sz val="8"/>
            <rFont val="Tahoma"/>
            <family val="0"/>
          </rPr>
          <t>Penalty for having the same clone in many copies</t>
        </r>
        <r>
          <rPr>
            <sz val="8"/>
            <rFont val="Tahoma"/>
            <family val="0"/>
          </rPr>
          <t xml:space="preserve">
</t>
        </r>
      </text>
    </comment>
    <comment ref="E57" authorId="0">
      <text>
        <r>
          <rPr>
            <b/>
            <sz val="8"/>
            <rFont val="Tahoma"/>
            <family val="0"/>
          </rPr>
          <t>Benefit of the seed orchard. (Gain with deduction for high proportion of clones).</t>
        </r>
        <r>
          <rPr>
            <sz val="8"/>
            <rFont val="Tahoma"/>
            <family val="0"/>
          </rPr>
          <t xml:space="preserve">
</t>
        </r>
      </text>
    </comment>
    <comment ref="B58" authorId="0">
      <text>
        <r>
          <rPr>
            <b/>
            <sz val="8"/>
            <rFont val="Tahoma"/>
            <family val="0"/>
          </rPr>
          <t>Genetic gain</t>
        </r>
      </text>
    </comment>
    <comment ref="B59" authorId="0">
      <text>
        <r>
          <rPr>
            <sz val="8"/>
            <rFont val="Tahoma"/>
            <family val="2"/>
          </rPr>
          <t>Effective number of clones in the seed orchard (for truncation=equal proportions= census clone number). 
If clones are unrelated and non-inbred Ne will be the status number.</t>
        </r>
      </text>
    </comment>
    <comment ref="B60" authorId="0">
      <text>
        <r>
          <rPr>
            <b/>
            <sz val="8"/>
            <rFont val="Tahoma"/>
            <family val="0"/>
          </rPr>
          <t>intercept for optimal line</t>
        </r>
        <r>
          <rPr>
            <sz val="8"/>
            <rFont val="Tahoma"/>
            <family val="0"/>
          </rPr>
          <t xml:space="preserve">
</t>
        </r>
      </text>
    </comment>
    <comment ref="C60" authorId="0">
      <text>
        <r>
          <rPr>
            <sz val="8"/>
            <color indexed="10"/>
            <rFont val="Tahoma"/>
            <family val="2"/>
          </rPr>
          <t>This is the intercept, which is one of the most important entries.</t>
        </r>
        <r>
          <rPr>
            <sz val="8"/>
            <rFont val="Tahoma"/>
            <family val="0"/>
          </rPr>
          <t xml:space="preserve">
</t>
        </r>
      </text>
    </comment>
    <comment ref="A10" authorId="0">
      <text>
        <r>
          <rPr>
            <b/>
            <sz val="8"/>
            <rFont val="Tahoma"/>
            <family val="0"/>
          </rPr>
          <t>These table sums have no significance for the calculations</t>
        </r>
      </text>
    </comment>
    <comment ref="C54" authorId="0">
      <text>
        <r>
          <rPr>
            <b/>
            <sz val="8"/>
            <rFont val="Tahoma"/>
            <family val="0"/>
          </rPr>
          <t>The number of clones with ramets in the seed orchard</t>
        </r>
        <r>
          <rPr>
            <sz val="8"/>
            <rFont val="Tahoma"/>
            <family val="0"/>
          </rPr>
          <t xml:space="preserve">
</t>
        </r>
      </text>
    </comment>
    <comment ref="C55" authorId="0">
      <text>
        <r>
          <rPr>
            <b/>
            <sz val="8"/>
            <rFont val="Tahoma"/>
            <family val="0"/>
          </rPr>
          <t>Sum of breeding values of the clones in the seed orchard</t>
        </r>
        <r>
          <rPr>
            <sz val="8"/>
            <rFont val="Tahoma"/>
            <family val="0"/>
          </rPr>
          <t xml:space="preserve">
</t>
        </r>
      </text>
    </comment>
    <comment ref="H15" authorId="0">
      <text>
        <r>
          <rPr>
            <b/>
            <sz val="8"/>
            <rFont val="Tahoma"/>
            <family val="0"/>
          </rPr>
          <t>Suggested ramet number of the particular clone, this can be chosen arbitrarily by the user.</t>
        </r>
      </text>
    </comment>
    <comment ref="B51" authorId="0">
      <text>
        <r>
          <rPr>
            <sz val="8"/>
            <rFont val="Tahoma"/>
            <family val="0"/>
          </rPr>
          <t>Note! Do not remove this last cell as there is pointers pointing on that!</t>
        </r>
      </text>
    </comment>
    <comment ref="H16" authorId="0">
      <text>
        <r>
          <rPr>
            <sz val="8"/>
            <rFont val="Tahoma"/>
            <family val="0"/>
          </rPr>
          <t>Any value of ramet number may be put in this column!</t>
        </r>
      </text>
    </comment>
    <comment ref="A51" authorId="0">
      <text>
        <r>
          <rPr>
            <sz val="8"/>
            <rFont val="Tahoma"/>
            <family val="0"/>
          </rPr>
          <t>Let the last data row remain!</t>
        </r>
      </text>
    </comment>
    <comment ref="C10" authorId="1">
      <text>
        <r>
          <rPr>
            <sz val="8"/>
            <color indexed="50"/>
            <rFont val="Tahoma"/>
            <family val="2"/>
          </rPr>
          <t>Total number of ramets in the new seed orchard</t>
        </r>
      </text>
    </comment>
    <comment ref="H10" authorId="1">
      <text>
        <r>
          <rPr>
            <sz val="8"/>
            <color indexed="50"/>
            <rFont val="Tahoma"/>
            <family val="2"/>
          </rPr>
          <t>Total number of ramets in the new seed orchard</t>
        </r>
      </text>
    </comment>
    <comment ref="E10" authorId="1">
      <text>
        <r>
          <rPr>
            <sz val="8"/>
            <color indexed="50"/>
            <rFont val="Tahoma"/>
            <family val="2"/>
          </rPr>
          <t>Total number of ramets in the new seed orchard</t>
        </r>
      </text>
    </comment>
    <comment ref="A2" authorId="0">
      <text>
        <r>
          <rPr>
            <sz val="8"/>
            <rFont val="Tahoma"/>
            <family val="0"/>
          </rPr>
          <t>Linear deployment could be used for both seed orchards and clones. Then seed orchard is concerned it is the breeding value which is relevant, while when clonal mixtures in forestry it is the genotypic value, thus genetic value may be the right word, however for this worksheet we try to use breeding value, althoug in senso stricto this is only for seed orchards</t>
        </r>
      </text>
    </comment>
    <comment ref="B61" authorId="0">
      <text>
        <r>
          <rPr>
            <sz val="8"/>
            <rFont val="Tahoma"/>
            <family val="0"/>
          </rPr>
          <t>Assuming unrelated and noninbred clones (or rather equally related and inbred) the gene diversity is 1-Ne/2</t>
        </r>
      </text>
    </comment>
    <comment ref="A3" authorId="2">
      <text>
        <r>
          <rPr>
            <sz val="8"/>
            <rFont val="Tahoma"/>
            <family val="0"/>
          </rPr>
          <t xml:space="preserve">
The main problem with this worksheet is that I have not found a good procedure for making the length of a column a variable. It is difficult for customers to do that!</t>
        </r>
      </text>
    </comment>
  </commentList>
</comments>
</file>

<file path=xl/comments6.xml><?xml version="1.0" encoding="utf-8"?>
<comments xmlns="http://schemas.openxmlformats.org/spreadsheetml/2006/main">
  <authors>
    <author>dagl</author>
    <author>Dag Lindgren</author>
  </authors>
  <commentList>
    <comment ref="A12" authorId="0">
      <text>
        <r>
          <rPr>
            <sz val="8"/>
            <rFont val="Tahoma"/>
            <family val="0"/>
          </rPr>
          <t xml:space="preserve">These values are for thinning an Swedish spruce pine seed orchard (Lagan G710). The clonal ID are cutting clones, first year of creating the clone, BV is an index based on measurements in 12 year old cutting trials (Boije) and ramets is planted in the seed orchard. </t>
        </r>
      </text>
    </comment>
    <comment ref="C6" authorId="1">
      <text>
        <r>
          <rPr>
            <b/>
            <sz val="8"/>
            <color indexed="14"/>
            <rFont val="Tahoma"/>
            <family val="2"/>
          </rPr>
          <t>Clone number</t>
        </r>
        <r>
          <rPr>
            <b/>
            <sz val="8"/>
            <color indexed="50"/>
            <rFont val="Tahoma"/>
            <family val="2"/>
          </rPr>
          <t xml:space="preserve">
Number of clones in the seed orchard before thinning (actually the number of rows between the first and the last entry, rows can be inserted or delated if a new data set is inserted, it is essential that the number of data rows and the number of rows between first and last data row  is the same (the clonal number before thinning is correct) </t>
        </r>
      </text>
    </comment>
    <comment ref="L1" authorId="1">
      <text>
        <r>
          <rPr>
            <b/>
            <sz val="8"/>
            <color indexed="50"/>
            <rFont val="Tahoma"/>
            <family val="2"/>
          </rPr>
          <t>The algorithm removes ramets (grafts, clonal copies) in a way which combine high breeding value, high effective population size and many remaining ramets. 
Good combinations could be searched for by varying the intercept (g0, ramets with lower breeding value are not preserved). The slope, b, has to be adjusted to get a desirable number of remaining ramets, and will also affect the outcome (as it determines when a higher number of ramets available is desirable).</t>
        </r>
      </text>
    </comment>
    <comment ref="C48" authorId="1">
      <text>
        <r>
          <rPr>
            <b/>
            <sz val="8"/>
            <rFont val="Tahoma"/>
            <family val="0"/>
          </rPr>
          <t>Dag Lindgren:</t>
        </r>
        <r>
          <rPr>
            <sz val="8"/>
            <rFont val="Tahoma"/>
            <family val="0"/>
          </rPr>
          <t xml:space="preserve">
Average breeding value of the clones in the orchard (not weighted with ramet number)</t>
        </r>
      </text>
    </comment>
    <comment ref="B15" authorId="1">
      <text>
        <r>
          <rPr>
            <sz val="8"/>
            <rFont val="Tahoma"/>
            <family val="0"/>
          </rPr>
          <t>The current default values are BV as an index based on 12 year old clonal tests, which are used for thinning i Swedish clonal seed orchard. (Lagan, nr 710)</t>
        </r>
      </text>
    </comment>
    <comment ref="L10" authorId="1">
      <text>
        <r>
          <rPr>
            <b/>
            <sz val="8"/>
            <color indexed="50"/>
            <rFont val="Tahoma"/>
            <family val="2"/>
          </rPr>
          <t>g</t>
        </r>
        <r>
          <rPr>
            <b/>
            <vertAlign val="subscript"/>
            <sz val="8"/>
            <color indexed="50"/>
            <rFont val="Tahoma"/>
            <family val="2"/>
          </rPr>
          <t>0</t>
        </r>
        <r>
          <rPr>
            <b/>
            <sz val="8"/>
            <color indexed="50"/>
            <rFont val="Tahoma"/>
            <family val="2"/>
          </rPr>
          <t xml:space="preserve"> is the intercept of the optimising line, clones with breeding value below g</t>
        </r>
        <r>
          <rPr>
            <b/>
            <vertAlign val="subscript"/>
            <sz val="8"/>
            <color indexed="50"/>
            <rFont val="Tahoma"/>
            <family val="2"/>
          </rPr>
          <t>0</t>
        </r>
        <r>
          <rPr>
            <b/>
            <sz val="8"/>
            <color indexed="50"/>
            <rFont val="Tahoma"/>
            <family val="2"/>
          </rPr>
          <t xml:space="preserve">  does not get represented in the seed orchard</t>
        </r>
      </text>
    </comment>
    <comment ref="C7" authorId="1">
      <text>
        <r>
          <rPr>
            <b/>
            <sz val="8"/>
            <color indexed="14"/>
            <rFont val="Tahoma"/>
            <family val="2"/>
          </rPr>
          <t>Ramet number</t>
        </r>
        <r>
          <rPr>
            <b/>
            <sz val="8"/>
            <color indexed="50"/>
            <rFont val="Tahoma"/>
            <family val="2"/>
          </rPr>
          <t xml:space="preserve">
Number of ramets (grafts, cuttings, vegative copies per clone) in the seed orchard.</t>
        </r>
      </text>
    </comment>
    <comment ref="C8" authorId="1">
      <text>
        <r>
          <rPr>
            <b/>
            <sz val="8"/>
            <color indexed="14"/>
            <rFont val="Tahoma"/>
            <family val="2"/>
          </rPr>
          <t>Breeding value</t>
        </r>
        <r>
          <rPr>
            <b/>
            <sz val="8"/>
            <rFont val="Tahoma"/>
            <family val="2"/>
          </rPr>
          <t xml:space="preserve">
</t>
        </r>
        <r>
          <rPr>
            <b/>
            <sz val="8"/>
            <color indexed="50"/>
            <rFont val="Tahoma"/>
            <family val="2"/>
          </rPr>
          <t>The average estimated genetic value (breeding value).</t>
        </r>
      </text>
    </comment>
    <comment ref="E15" authorId="1">
      <text>
        <r>
          <rPr>
            <sz val="8"/>
            <rFont val="Tahoma"/>
            <family val="0"/>
          </rPr>
          <t xml:space="preserve">These values are intermediary calculations,  the ramet number desirable if seed orchard was </t>
        </r>
        <r>
          <rPr>
            <i/>
            <sz val="8"/>
            <rFont val="Tahoma"/>
            <family val="2"/>
          </rPr>
          <t>established</t>
        </r>
        <r>
          <rPr>
            <sz val="8"/>
            <rFont val="Tahoma"/>
            <family val="0"/>
          </rPr>
          <t>, but as ramets  only be removed, the suggested ramet number can not be higher than available</t>
        </r>
      </text>
    </comment>
    <comment ref="C2" authorId="1">
      <text>
        <r>
          <rPr>
            <sz val="8"/>
            <rFont val="Tahoma"/>
            <family val="0"/>
          </rPr>
          <t>The following four cells exemplify the meaning of different colours and fonts.</t>
        </r>
      </text>
    </comment>
    <comment ref="D2" authorId="1">
      <text>
        <r>
          <rPr>
            <sz val="8"/>
            <rFont val="Tahoma"/>
            <family val="0"/>
          </rPr>
          <t xml:space="preserve">The </t>
        </r>
        <r>
          <rPr>
            <b/>
            <sz val="8"/>
            <color indexed="10"/>
            <rFont val="Tahoma"/>
            <family val="2"/>
          </rPr>
          <t>bold red figures with yellow background</t>
        </r>
        <r>
          <rPr>
            <sz val="8"/>
            <color indexed="10"/>
            <rFont val="Tahoma"/>
            <family val="2"/>
          </rPr>
          <t xml:space="preserve"> </t>
        </r>
        <r>
          <rPr>
            <sz val="8"/>
            <rFont val="Tahoma"/>
            <family val="0"/>
          </rPr>
          <t>are meant to be changed by the user.</t>
        </r>
      </text>
    </comment>
    <comment ref="E2" authorId="1">
      <text>
        <r>
          <rPr>
            <sz val="8"/>
            <rFont val="Tahoma"/>
            <family val="0"/>
          </rPr>
          <t xml:space="preserve">The unbolded </t>
        </r>
        <r>
          <rPr>
            <sz val="8"/>
            <color indexed="10"/>
            <rFont val="Tahoma"/>
            <family val="2"/>
          </rPr>
          <t>red figures</t>
        </r>
        <r>
          <rPr>
            <sz val="8"/>
            <rFont val="Tahoma"/>
            <family val="2"/>
          </rPr>
          <t xml:space="preserve"> are not so essential (identifications) and does not matter for the output.</t>
        </r>
      </text>
    </comment>
    <comment ref="F2" authorId="1">
      <text>
        <r>
          <rPr>
            <b/>
            <sz val="8"/>
            <color indexed="12"/>
            <rFont val="Tahoma"/>
            <family val="2"/>
          </rPr>
          <t>Bold values in blue with yellow background</t>
        </r>
        <r>
          <rPr>
            <sz val="8"/>
            <rFont val="Tahoma"/>
            <family val="0"/>
          </rPr>
          <t xml:space="preserve"> are the main result. </t>
        </r>
        <r>
          <rPr>
            <b/>
            <sz val="8"/>
            <color indexed="40"/>
            <rFont val="Tahoma"/>
            <family val="2"/>
          </rPr>
          <t>Do not change blue values, because then the workbook will not work!</t>
        </r>
      </text>
    </comment>
    <comment ref="G2" authorId="1">
      <text>
        <r>
          <rPr>
            <sz val="8"/>
            <color indexed="12"/>
            <rFont val="Tahoma"/>
            <family val="2"/>
          </rPr>
          <t>Unbolded values in blue</t>
        </r>
        <r>
          <rPr>
            <sz val="8"/>
            <rFont val="Tahoma"/>
            <family val="0"/>
          </rPr>
          <t xml:space="preserve"> are considered minor or intermediary results. </t>
        </r>
        <r>
          <rPr>
            <sz val="8"/>
            <color indexed="40"/>
            <rFont val="Tahoma"/>
            <family val="2"/>
          </rPr>
          <t>Do not change blue values, because then the workbook will not work!</t>
        </r>
      </text>
    </comment>
    <comment ref="C9" authorId="1">
      <text>
        <r>
          <rPr>
            <b/>
            <sz val="8"/>
            <color indexed="14"/>
            <rFont val="Tahoma"/>
            <family val="2"/>
          </rPr>
          <t>Effective number</t>
        </r>
        <r>
          <rPr>
            <b/>
            <sz val="8"/>
            <rFont val="Tahoma"/>
            <family val="2"/>
          </rPr>
          <t xml:space="preserve">
</t>
        </r>
        <r>
          <rPr>
            <b/>
            <sz val="8"/>
            <color indexed="17"/>
            <rFont val="Tahoma"/>
            <family val="2"/>
          </rPr>
          <t>Effective number of clones (status number).</t>
        </r>
        <r>
          <rPr>
            <b/>
            <sz val="8"/>
            <rFont val="Tahoma"/>
            <family val="2"/>
          </rPr>
          <t xml:space="preserve">
</t>
        </r>
      </text>
    </comment>
    <comment ref="C10" authorId="1">
      <text>
        <r>
          <rPr>
            <b/>
            <sz val="8"/>
            <color indexed="14"/>
            <rFont val="Tahoma"/>
            <family val="2"/>
          </rPr>
          <t>Intercept</t>
        </r>
        <r>
          <rPr>
            <b/>
            <sz val="8"/>
            <color indexed="50"/>
            <rFont val="Tahoma"/>
            <family val="2"/>
          </rPr>
          <t xml:space="preserve">
g</t>
        </r>
        <r>
          <rPr>
            <b/>
            <vertAlign val="subscript"/>
            <sz val="8"/>
            <color indexed="50"/>
            <rFont val="Tahoma"/>
            <family val="2"/>
          </rPr>
          <t>0</t>
        </r>
        <r>
          <rPr>
            <b/>
            <sz val="8"/>
            <color indexed="50"/>
            <rFont val="Tahoma"/>
            <family val="2"/>
          </rPr>
          <t xml:space="preserve"> is the intercept of the optimising line, clones with breeding value below g</t>
        </r>
        <r>
          <rPr>
            <b/>
            <vertAlign val="subscript"/>
            <sz val="8"/>
            <color indexed="50"/>
            <rFont val="Tahoma"/>
            <family val="2"/>
          </rPr>
          <t>0</t>
        </r>
        <r>
          <rPr>
            <b/>
            <sz val="8"/>
            <color indexed="50"/>
            <rFont val="Tahoma"/>
            <family val="2"/>
          </rPr>
          <t xml:space="preserve">  does not get represented at all.</t>
        </r>
      </text>
    </comment>
    <comment ref="C11" authorId="1">
      <text>
        <r>
          <rPr>
            <b/>
            <sz val="8"/>
            <color indexed="14"/>
            <rFont val="Tahoma"/>
            <family val="2"/>
          </rPr>
          <t>Slope</t>
        </r>
        <r>
          <rPr>
            <b/>
            <sz val="8"/>
            <color indexed="17"/>
            <rFont val="Tahoma"/>
            <family val="2"/>
          </rPr>
          <t xml:space="preserve">
The slope, b, of the linear relationship between number of ramets and breeding value. Thus how much the ramet number increases when the breeding value increases one unit.</t>
        </r>
      </text>
    </comment>
    <comment ref="L15" authorId="1">
      <text>
        <r>
          <rPr>
            <b/>
            <sz val="8"/>
            <color indexed="50"/>
            <rFont val="Tahoma"/>
            <family val="2"/>
          </rPr>
          <t>Ramets
Number of ramets in the seed orchard following removing of ramets with breeding value below the intercept (see above)</t>
        </r>
      </text>
    </comment>
    <comment ref="F15" authorId="1">
      <text>
        <r>
          <rPr>
            <b/>
            <sz val="8"/>
            <color indexed="14"/>
            <rFont val="Tahoma"/>
            <family val="2"/>
          </rPr>
          <t>Ramet number</t>
        </r>
        <r>
          <rPr>
            <b/>
            <sz val="8"/>
            <color indexed="17"/>
            <rFont val="Tahoma"/>
            <family val="2"/>
          </rPr>
          <t xml:space="preserve">
Number of ramets remaining after genetic thinning with decimals.</t>
        </r>
      </text>
    </comment>
    <comment ref="G15" authorId="1">
      <text>
        <r>
          <rPr>
            <b/>
            <sz val="8"/>
            <color indexed="17"/>
            <rFont val="Tahoma"/>
            <family val="2"/>
          </rPr>
          <t>Percentage
The percentage of the ramets of the clone that remains after thinning.</t>
        </r>
      </text>
    </comment>
    <comment ref="I15" authorId="1">
      <text>
        <r>
          <rPr>
            <b/>
            <sz val="8"/>
            <color indexed="14"/>
            <rFont val="Tahoma"/>
            <family val="2"/>
          </rPr>
          <t>Ramet number</t>
        </r>
        <r>
          <rPr>
            <b/>
            <sz val="8"/>
            <color indexed="17"/>
            <rFont val="Tahoma"/>
            <family val="2"/>
          </rPr>
          <t xml:space="preserve">
Number of ramets remaining after genetic thinning with decimals.</t>
        </r>
      </text>
    </comment>
    <comment ref="J15" authorId="1">
      <text>
        <r>
          <rPr>
            <b/>
            <sz val="8"/>
            <color indexed="14"/>
            <rFont val="Tahoma"/>
            <family val="2"/>
          </rPr>
          <t>Ramet number</t>
        </r>
        <r>
          <rPr>
            <b/>
            <sz val="8"/>
            <color indexed="17"/>
            <rFont val="Tahoma"/>
            <family val="2"/>
          </rPr>
          <t xml:space="preserve">
Number of ramets remaining after genetic thinning, integers based on the decimal values to the left.</t>
        </r>
      </text>
    </comment>
    <comment ref="F6" authorId="1">
      <text>
        <r>
          <rPr>
            <b/>
            <sz val="8"/>
            <color indexed="14"/>
            <rFont val="Tahoma"/>
            <family val="2"/>
          </rPr>
          <t>Clone number</t>
        </r>
        <r>
          <rPr>
            <b/>
            <sz val="8"/>
            <color indexed="50"/>
            <rFont val="Tahoma"/>
            <family val="2"/>
          </rPr>
          <t xml:space="preserve">
Number of clones in the seed orchard after thinning</t>
        </r>
      </text>
    </comment>
    <comment ref="F7" authorId="1">
      <text>
        <r>
          <rPr>
            <b/>
            <sz val="8"/>
            <color indexed="14"/>
            <rFont val="Tahoma"/>
            <family val="2"/>
          </rPr>
          <t>Ramet number</t>
        </r>
        <r>
          <rPr>
            <b/>
            <sz val="8"/>
            <color indexed="50"/>
            <rFont val="Tahoma"/>
            <family val="2"/>
          </rPr>
          <t xml:space="preserve">
Number of ramets (grafts, cuttings, vegative copies per clone) in the seed orchard.</t>
        </r>
      </text>
    </comment>
    <comment ref="F8" authorId="1">
      <text>
        <r>
          <rPr>
            <b/>
            <sz val="8"/>
            <color indexed="14"/>
            <rFont val="Tahoma"/>
            <family val="2"/>
          </rPr>
          <t>Breeding value</t>
        </r>
        <r>
          <rPr>
            <b/>
            <sz val="8"/>
            <rFont val="Tahoma"/>
            <family val="2"/>
          </rPr>
          <t xml:space="preserve">
</t>
        </r>
        <r>
          <rPr>
            <b/>
            <sz val="8"/>
            <color indexed="50"/>
            <rFont val="Tahoma"/>
            <family val="2"/>
          </rPr>
          <t>The average estimated genetic value (breeding value) of the ramets.</t>
        </r>
      </text>
    </comment>
    <comment ref="F9" authorId="1">
      <text>
        <r>
          <rPr>
            <b/>
            <sz val="8"/>
            <color indexed="14"/>
            <rFont val="Tahoma"/>
            <family val="2"/>
          </rPr>
          <t>Effective number</t>
        </r>
        <r>
          <rPr>
            <b/>
            <sz val="8"/>
            <rFont val="Tahoma"/>
            <family val="2"/>
          </rPr>
          <t xml:space="preserve">
</t>
        </r>
        <r>
          <rPr>
            <b/>
            <sz val="8"/>
            <color indexed="17"/>
            <rFont val="Tahoma"/>
            <family val="2"/>
          </rPr>
          <t>Effective number of clones (status number).</t>
        </r>
        <r>
          <rPr>
            <b/>
            <sz val="8"/>
            <rFont val="Tahoma"/>
            <family val="2"/>
          </rPr>
          <t xml:space="preserve">
</t>
        </r>
      </text>
    </comment>
    <comment ref="F10" authorId="1">
      <text>
        <r>
          <rPr>
            <b/>
            <sz val="8"/>
            <color indexed="14"/>
            <rFont val="Tahoma"/>
            <family val="2"/>
          </rPr>
          <t>Intercept</t>
        </r>
        <r>
          <rPr>
            <b/>
            <sz val="8"/>
            <color indexed="50"/>
            <rFont val="Tahoma"/>
            <family val="2"/>
          </rPr>
          <t xml:space="preserve">
g</t>
        </r>
        <r>
          <rPr>
            <b/>
            <vertAlign val="subscript"/>
            <sz val="8"/>
            <color indexed="50"/>
            <rFont val="Tahoma"/>
            <family val="2"/>
          </rPr>
          <t>0</t>
        </r>
        <r>
          <rPr>
            <b/>
            <sz val="8"/>
            <color indexed="50"/>
            <rFont val="Tahoma"/>
            <family val="2"/>
          </rPr>
          <t xml:space="preserve"> is the intercept of the optimising line, clones with breeding value below g</t>
        </r>
        <r>
          <rPr>
            <b/>
            <vertAlign val="subscript"/>
            <sz val="8"/>
            <color indexed="50"/>
            <rFont val="Tahoma"/>
            <family val="2"/>
          </rPr>
          <t>0</t>
        </r>
        <r>
          <rPr>
            <b/>
            <sz val="8"/>
            <color indexed="50"/>
            <rFont val="Tahoma"/>
            <family val="2"/>
          </rPr>
          <t xml:space="preserve">  does not get represented at all.</t>
        </r>
      </text>
    </comment>
    <comment ref="I6" authorId="1">
      <text>
        <r>
          <rPr>
            <b/>
            <sz val="8"/>
            <color indexed="14"/>
            <rFont val="Tahoma"/>
            <family val="2"/>
          </rPr>
          <t>Clone number</t>
        </r>
        <r>
          <rPr>
            <b/>
            <sz val="8"/>
            <color indexed="50"/>
            <rFont val="Tahoma"/>
            <family val="2"/>
          </rPr>
          <t xml:space="preserve">
Number of clones in the seed orchard after thinning</t>
        </r>
      </text>
    </comment>
    <comment ref="I7" authorId="1">
      <text>
        <r>
          <rPr>
            <b/>
            <sz val="8"/>
            <color indexed="14"/>
            <rFont val="Tahoma"/>
            <family val="2"/>
          </rPr>
          <t>Ramet number</t>
        </r>
        <r>
          <rPr>
            <b/>
            <sz val="8"/>
            <color indexed="50"/>
            <rFont val="Tahoma"/>
            <family val="2"/>
          </rPr>
          <t xml:space="preserve">
Number of ramets (grafts, cuttings, vegative copies per clone) in the seed orchard.</t>
        </r>
      </text>
    </comment>
    <comment ref="I8" authorId="1">
      <text>
        <r>
          <rPr>
            <b/>
            <sz val="8"/>
            <color indexed="14"/>
            <rFont val="Tahoma"/>
            <family val="2"/>
          </rPr>
          <t>Breeding value</t>
        </r>
        <r>
          <rPr>
            <b/>
            <sz val="8"/>
            <rFont val="Tahoma"/>
            <family val="2"/>
          </rPr>
          <t xml:space="preserve">
</t>
        </r>
        <r>
          <rPr>
            <b/>
            <sz val="8"/>
            <color indexed="50"/>
            <rFont val="Tahoma"/>
            <family val="2"/>
          </rPr>
          <t>The average estimated genetic value (breeding value) of the ramets.</t>
        </r>
      </text>
    </comment>
    <comment ref="I9" authorId="1">
      <text>
        <r>
          <rPr>
            <b/>
            <sz val="8"/>
            <color indexed="14"/>
            <rFont val="Tahoma"/>
            <family val="2"/>
          </rPr>
          <t>Effective number</t>
        </r>
        <r>
          <rPr>
            <b/>
            <sz val="8"/>
            <rFont val="Tahoma"/>
            <family val="2"/>
          </rPr>
          <t xml:space="preserve">
</t>
        </r>
        <r>
          <rPr>
            <b/>
            <sz val="8"/>
            <color indexed="17"/>
            <rFont val="Tahoma"/>
            <family val="2"/>
          </rPr>
          <t>Effective number of clones (status number).</t>
        </r>
        <r>
          <rPr>
            <b/>
            <sz val="8"/>
            <rFont val="Tahoma"/>
            <family val="2"/>
          </rPr>
          <t xml:space="preserve">
</t>
        </r>
      </text>
    </comment>
    <comment ref="I10" authorId="1">
      <text>
        <r>
          <rPr>
            <b/>
            <sz val="8"/>
            <color indexed="14"/>
            <rFont val="Tahoma"/>
            <family val="2"/>
          </rPr>
          <t>Intercept</t>
        </r>
        <r>
          <rPr>
            <b/>
            <sz val="8"/>
            <color indexed="50"/>
            <rFont val="Tahoma"/>
            <family val="2"/>
          </rPr>
          <t xml:space="preserve">
g</t>
        </r>
        <r>
          <rPr>
            <b/>
            <vertAlign val="subscript"/>
            <sz val="8"/>
            <color indexed="50"/>
            <rFont val="Tahoma"/>
            <family val="2"/>
          </rPr>
          <t>0</t>
        </r>
        <r>
          <rPr>
            <b/>
            <sz val="8"/>
            <color indexed="50"/>
            <rFont val="Tahoma"/>
            <family val="2"/>
          </rPr>
          <t xml:space="preserve"> is the intercept of the optimising line, clones with breeding value below g</t>
        </r>
        <r>
          <rPr>
            <b/>
            <vertAlign val="subscript"/>
            <sz val="8"/>
            <color indexed="50"/>
            <rFont val="Tahoma"/>
            <family val="2"/>
          </rPr>
          <t>0</t>
        </r>
        <r>
          <rPr>
            <b/>
            <sz val="8"/>
            <color indexed="50"/>
            <rFont val="Tahoma"/>
            <family val="2"/>
          </rPr>
          <t xml:space="preserve">  does not get represented at all.</t>
        </r>
      </text>
    </comment>
    <comment ref="L6" authorId="1">
      <text>
        <r>
          <rPr>
            <b/>
            <sz val="8"/>
            <color indexed="14"/>
            <rFont val="Tahoma"/>
            <family val="2"/>
          </rPr>
          <t>Clone number</t>
        </r>
        <r>
          <rPr>
            <b/>
            <sz val="8"/>
            <color indexed="50"/>
            <rFont val="Tahoma"/>
            <family val="2"/>
          </rPr>
          <t xml:space="preserve">
Number of clones in the seed orchard after thinning</t>
        </r>
      </text>
    </comment>
    <comment ref="L7" authorId="1">
      <text>
        <r>
          <rPr>
            <b/>
            <sz val="8"/>
            <color indexed="14"/>
            <rFont val="Tahoma"/>
            <family val="2"/>
          </rPr>
          <t>Ramet number</t>
        </r>
        <r>
          <rPr>
            <b/>
            <sz val="8"/>
            <color indexed="50"/>
            <rFont val="Tahoma"/>
            <family val="2"/>
          </rPr>
          <t xml:space="preserve">
Number of ramets (grafts, cuttings, vegative copies per clone) in the seed orchard.</t>
        </r>
      </text>
    </comment>
    <comment ref="L8" authorId="1">
      <text>
        <r>
          <rPr>
            <b/>
            <sz val="8"/>
            <color indexed="14"/>
            <rFont val="Tahoma"/>
            <family val="2"/>
          </rPr>
          <t>Breeding value</t>
        </r>
        <r>
          <rPr>
            <b/>
            <sz val="8"/>
            <rFont val="Tahoma"/>
            <family val="2"/>
          </rPr>
          <t xml:space="preserve">
</t>
        </r>
        <r>
          <rPr>
            <b/>
            <sz val="8"/>
            <color indexed="50"/>
            <rFont val="Tahoma"/>
            <family val="2"/>
          </rPr>
          <t>The average estimated genetic value (breeding value) of the ramets.</t>
        </r>
      </text>
    </comment>
    <comment ref="L9" authorId="1">
      <text>
        <r>
          <rPr>
            <b/>
            <sz val="8"/>
            <color indexed="14"/>
            <rFont val="Tahoma"/>
            <family val="2"/>
          </rPr>
          <t>Effective number</t>
        </r>
        <r>
          <rPr>
            <b/>
            <sz val="8"/>
            <rFont val="Tahoma"/>
            <family val="2"/>
          </rPr>
          <t xml:space="preserve">
</t>
        </r>
        <r>
          <rPr>
            <b/>
            <sz val="8"/>
            <color indexed="17"/>
            <rFont val="Tahoma"/>
            <family val="2"/>
          </rPr>
          <t>Effective number of clones (status number).</t>
        </r>
        <r>
          <rPr>
            <b/>
            <sz val="8"/>
            <rFont val="Tahoma"/>
            <family val="2"/>
          </rPr>
          <t xml:space="preserve">
</t>
        </r>
      </text>
    </comment>
    <comment ref="F11" authorId="1">
      <text>
        <r>
          <rPr>
            <b/>
            <sz val="8"/>
            <color indexed="14"/>
            <rFont val="Tahoma"/>
            <family val="2"/>
          </rPr>
          <t>Slope</t>
        </r>
        <r>
          <rPr>
            <b/>
            <sz val="8"/>
            <color indexed="17"/>
            <rFont val="Tahoma"/>
            <family val="2"/>
          </rPr>
          <t xml:space="preserve">
The slope, b, of the linear relationship between number of ramets and breeding value</t>
        </r>
      </text>
    </comment>
    <comment ref="I11" authorId="1">
      <text>
        <r>
          <rPr>
            <b/>
            <sz val="8"/>
            <color indexed="14"/>
            <rFont val="Tahoma"/>
            <family val="2"/>
          </rPr>
          <t>Slope</t>
        </r>
        <r>
          <rPr>
            <b/>
            <sz val="8"/>
            <color indexed="17"/>
            <rFont val="Tahoma"/>
            <family val="2"/>
          </rPr>
          <t xml:space="preserve">
The slope, b, of the linear relationship between number of ramets and breeding value</t>
        </r>
      </text>
    </comment>
    <comment ref="M1" authorId="1">
      <text>
        <r>
          <rPr>
            <b/>
            <sz val="8"/>
            <color indexed="57"/>
            <rFont val="Tahoma"/>
            <family val="2"/>
          </rPr>
          <t>This is linear deployment (=optimal utilization) at genetic thinning
Input is genetic value of clones, existing ramets and assumed line.
Output is remaining ramets, gain and eff number. Find what's wanted by chosing the line! Line is chosen by chosing values for g0 and b.</t>
        </r>
      </text>
    </comment>
    <comment ref="H2" authorId="1">
      <text>
        <r>
          <rPr>
            <b/>
            <sz val="8"/>
            <rFont val="Tahoma"/>
            <family val="0"/>
          </rPr>
          <t>Dag Lindgren:</t>
        </r>
        <r>
          <rPr>
            <sz val="8"/>
            <rFont val="Tahoma"/>
            <family val="0"/>
          </rPr>
          <t xml:space="preserve">
Inermediary results of little interest to the user</t>
        </r>
      </text>
    </comment>
    <comment ref="A14" authorId="1">
      <text>
        <r>
          <rPr>
            <b/>
            <sz val="8"/>
            <color indexed="57"/>
            <rFont val="Tahoma"/>
            <family val="2"/>
          </rPr>
          <t>Identification
Identification of the clones, the information in this is just for the convenience of the customer, and does not affect the calculations of the worksheet.</t>
        </r>
      </text>
    </comment>
    <comment ref="B14" authorId="1">
      <text>
        <r>
          <rPr>
            <b/>
            <sz val="8"/>
            <color indexed="57"/>
            <rFont val="Tahoma"/>
            <family val="2"/>
          </rPr>
          <t xml:space="preserve">Breeding value of the clones, the algorithm works independent of their size or scaling. </t>
        </r>
      </text>
    </comment>
    <comment ref="C14" authorId="1">
      <text>
        <r>
          <rPr>
            <b/>
            <sz val="8"/>
            <color indexed="17"/>
            <rFont val="Tahoma"/>
            <family val="2"/>
          </rPr>
          <t>Ramets
Number of ramets (copies) of the clone in the seed orchard</t>
        </r>
      </text>
    </comment>
  </commentList>
</comments>
</file>

<file path=xl/comments7.xml><?xml version="1.0" encoding="utf-8"?>
<comments xmlns="http://schemas.openxmlformats.org/spreadsheetml/2006/main">
  <authors>
    <author>dagl</author>
    <author>Dag Lindgren</author>
  </authors>
  <commentList>
    <comment ref="A13" authorId="0">
      <text>
        <r>
          <rPr>
            <sz val="8"/>
            <rFont val="Tahoma"/>
            <family val="0"/>
          </rPr>
          <t>These values are for thinning an Eucalyptus seed orchard in India.</t>
        </r>
      </text>
    </comment>
    <comment ref="C7" authorId="1">
      <text>
        <r>
          <rPr>
            <b/>
            <sz val="8"/>
            <color indexed="50"/>
            <rFont val="Tahoma"/>
            <family val="2"/>
          </rPr>
          <t>Number of clones in the seed orchard before thinning (actually the number of rows between the first and the last entry)</t>
        </r>
      </text>
    </comment>
    <comment ref="F1" authorId="1">
      <text>
        <r>
          <rPr>
            <b/>
            <sz val="8"/>
            <rFont val="Tahoma"/>
            <family val="0"/>
          </rPr>
          <t>Dag Lindgren:</t>
        </r>
        <r>
          <rPr>
            <sz val="8"/>
            <rFont val="Tahoma"/>
            <family val="0"/>
          </rPr>
          <t xml:space="preserve">
This is linear deployment (=optimal utilization)" &amp; Chr(13) &amp; _
              "Input is genetic value of clones, existing ramets and assumed line" &amp; Chr(13) &amp; _
              "Output is remaining ramets, gain and eff number. Find what's wanted by chosing the line!" &amp; Chr(13) &amp; _
              "Line is chosen by chosing values for g0 and b"</t>
        </r>
      </text>
    </comment>
    <comment ref="L1" authorId="1">
      <text>
        <r>
          <rPr>
            <b/>
            <sz val="8"/>
            <rFont val="Tahoma"/>
            <family val="0"/>
          </rPr>
          <t>Dag Lindgren:
The algorithm removes ramets (grafts, clonal copies) in a way which combine high breeding value, high effective population size and many remaining ramets. 
Good combinations could be searched for by varying the intercept (g0, ramets with lower breeding value are not preserved). The slope has to be adapted to get a desirable number of remaining ramets, and will also affect the outcome (as it determines when a higher number of ramets available is desirable).</t>
        </r>
      </text>
    </comment>
    <comment ref="C15" authorId="1">
      <text>
        <r>
          <rPr>
            <b/>
            <sz val="8"/>
            <rFont val="Tahoma"/>
            <family val="0"/>
          </rPr>
          <t>Dag Lindgren:</t>
        </r>
        <r>
          <rPr>
            <sz val="8"/>
            <rFont val="Tahoma"/>
            <family val="0"/>
          </rPr>
          <t xml:space="preserve">
</t>
        </r>
      </text>
    </comment>
    <comment ref="C104" authorId="1">
      <text>
        <r>
          <rPr>
            <b/>
            <sz val="8"/>
            <rFont val="Tahoma"/>
            <family val="0"/>
          </rPr>
          <t>Dag Lindgren:</t>
        </r>
        <r>
          <rPr>
            <sz val="8"/>
            <rFont val="Tahoma"/>
            <family val="0"/>
          </rPr>
          <t xml:space="preserve">
Average breeding value of the clones in the orchard (not weighted with ramet number)</t>
        </r>
      </text>
    </comment>
    <comment ref="B16" authorId="1">
      <text>
        <r>
          <rPr>
            <b/>
            <sz val="8"/>
            <rFont val="Tahoma"/>
            <family val="0"/>
          </rPr>
          <t>Dag Lindgren:</t>
        </r>
        <r>
          <rPr>
            <sz val="8"/>
            <rFont val="Tahoma"/>
            <family val="0"/>
          </rPr>
          <t xml:space="preserve">
Breeding value of the clones, the algorithm works independent of their size or scaling. The default values are for an Indian</t>
        </r>
      </text>
    </comment>
    <comment ref="A16" authorId="1">
      <text>
        <r>
          <rPr>
            <sz val="8"/>
            <rFont val="Tahoma"/>
            <family val="0"/>
          </rPr>
          <t>Identification of the clones, the information in this is just for the convenience of the customer, and does not affect the calculations of the worksheet.</t>
        </r>
      </text>
    </comment>
    <comment ref="F11" authorId="1">
      <text>
        <r>
          <rPr>
            <b/>
            <sz val="8"/>
            <color indexed="50"/>
            <rFont val="Tahoma"/>
            <family val="2"/>
          </rPr>
          <t>g</t>
        </r>
        <r>
          <rPr>
            <b/>
            <vertAlign val="subscript"/>
            <sz val="8"/>
            <color indexed="50"/>
            <rFont val="Tahoma"/>
            <family val="2"/>
          </rPr>
          <t>0</t>
        </r>
        <r>
          <rPr>
            <b/>
            <sz val="8"/>
            <color indexed="50"/>
            <rFont val="Tahoma"/>
            <family val="2"/>
          </rPr>
          <t xml:space="preserve"> is the intercept of the optimising line, clones with breeding value below g</t>
        </r>
        <r>
          <rPr>
            <b/>
            <vertAlign val="subscript"/>
            <sz val="8"/>
            <color indexed="50"/>
            <rFont val="Tahoma"/>
            <family val="2"/>
          </rPr>
          <t>0</t>
        </r>
        <r>
          <rPr>
            <b/>
            <sz val="8"/>
            <color indexed="50"/>
            <rFont val="Tahoma"/>
            <family val="2"/>
          </rPr>
          <t xml:space="preserve">  does not get represented in the seed orchard</t>
        </r>
      </text>
    </comment>
    <comment ref="L11" authorId="1">
      <text>
        <r>
          <rPr>
            <b/>
            <sz val="8"/>
            <color indexed="50"/>
            <rFont val="Tahoma"/>
            <family val="2"/>
          </rPr>
          <t>g</t>
        </r>
        <r>
          <rPr>
            <b/>
            <vertAlign val="subscript"/>
            <sz val="8"/>
            <color indexed="50"/>
            <rFont val="Tahoma"/>
            <family val="2"/>
          </rPr>
          <t>0</t>
        </r>
        <r>
          <rPr>
            <b/>
            <sz val="8"/>
            <color indexed="50"/>
            <rFont val="Tahoma"/>
            <family val="2"/>
          </rPr>
          <t xml:space="preserve"> is the intercept of the optimising line, clones with breeding value below g</t>
        </r>
        <r>
          <rPr>
            <b/>
            <vertAlign val="subscript"/>
            <sz val="8"/>
            <color indexed="50"/>
            <rFont val="Tahoma"/>
            <family val="2"/>
          </rPr>
          <t>0</t>
        </r>
        <r>
          <rPr>
            <b/>
            <sz val="8"/>
            <color indexed="50"/>
            <rFont val="Tahoma"/>
            <family val="2"/>
          </rPr>
          <t xml:space="preserve">  does not get represented in the seed orchard</t>
        </r>
      </text>
    </comment>
    <comment ref="C8" authorId="1">
      <text>
        <r>
          <rPr>
            <b/>
            <sz val="8"/>
            <color indexed="50"/>
            <rFont val="Tahoma"/>
            <family val="2"/>
          </rPr>
          <t>Number of ramets (grafts, cuttings, vegative copies per clone) in the seed orchard.</t>
        </r>
      </text>
    </comment>
    <comment ref="C9" authorId="1">
      <text>
        <r>
          <rPr>
            <sz val="8"/>
            <rFont val="Tahoma"/>
            <family val="0"/>
          </rPr>
          <t>The average estimated genetic value of the ramets in the seed orchard</t>
        </r>
      </text>
    </comment>
    <comment ref="E16" authorId="1">
      <text>
        <r>
          <rPr>
            <sz val="8"/>
            <rFont val="Tahoma"/>
            <family val="0"/>
          </rPr>
          <t>This values are intermediary calculations, that is the ramet number which would be desirable if a seed orchard was established, but as ramets can not be put where, only removed, the actual suggested ramet number can not be higher than whats available</t>
        </r>
      </text>
    </comment>
  </commentList>
</comments>
</file>

<file path=xl/sharedStrings.xml><?xml version="1.0" encoding="utf-8"?>
<sst xmlns="http://schemas.openxmlformats.org/spreadsheetml/2006/main" count="446" uniqueCount="338">
  <si>
    <t>B=G-c/Ne=Spigi-Spi2</t>
  </si>
  <si>
    <t>This is called linear deployment</t>
  </si>
  <si>
    <t>Designations</t>
  </si>
  <si>
    <r>
      <t>N</t>
    </r>
    <r>
      <rPr>
        <vertAlign val="subscript"/>
        <sz val="10"/>
        <rFont val="Arial"/>
        <family val="2"/>
      </rPr>
      <t>e</t>
    </r>
    <r>
      <rPr>
        <sz val="10"/>
        <rFont val="Arial"/>
        <family val="0"/>
      </rPr>
      <t>=effective population size (Status number)</t>
    </r>
  </si>
  <si>
    <t>B=benefit (net gain)</t>
  </si>
  <si>
    <r>
      <t>g</t>
    </r>
    <r>
      <rPr>
        <vertAlign val="subscript"/>
        <sz val="10"/>
        <rFont val="Arial"/>
        <family val="2"/>
      </rPr>
      <t>0</t>
    </r>
    <r>
      <rPr>
        <sz val="10"/>
        <rFont val="Arial"/>
        <family val="0"/>
      </rPr>
      <t>=intercept for optimal line</t>
    </r>
  </si>
  <si>
    <t>c=penalty coefficient</t>
  </si>
  <si>
    <r>
      <t>g</t>
    </r>
    <r>
      <rPr>
        <vertAlign val="subscript"/>
        <sz val="10"/>
        <rFont val="Arial"/>
        <family val="2"/>
      </rPr>
      <t>i</t>
    </r>
    <r>
      <rPr>
        <sz val="10"/>
        <rFont val="Arial"/>
        <family val="0"/>
      </rPr>
      <t>=breeding value</t>
    </r>
  </si>
  <si>
    <r>
      <t>f</t>
    </r>
    <r>
      <rPr>
        <vertAlign val="subscript"/>
        <sz val="10"/>
        <rFont val="Arial"/>
        <family val="2"/>
      </rPr>
      <t>i</t>
    </r>
    <r>
      <rPr>
        <sz val="10"/>
        <rFont val="Arial"/>
        <family val="0"/>
      </rPr>
      <t>=ramet number</t>
    </r>
  </si>
  <si>
    <t>The current sheet gives the genetic data used, truncation selection and some background. It was last edited 1997-03-15</t>
  </si>
  <si>
    <t>The idea is that a user can insert his own data instead of the examples in the following sheets</t>
  </si>
  <si>
    <t>There are a number of clones which are assigned genetic values</t>
  </si>
  <si>
    <t>Initially these have been standardized, so the mean is zero and the variance 1, and are in ranked order.</t>
  </si>
  <si>
    <t>The genetic values need not be standardized for the algorithms in this workbook to work, but if they are not ranked, problems may occur.</t>
  </si>
  <si>
    <t>Values which are meant to change by the user appear in red fonts</t>
  </si>
  <si>
    <t>Values which are meant to be output are in blue fonts</t>
  </si>
  <si>
    <t>Truncation selection is the standard procedure and is presented here as a reference and for pedagogical reasons. You need not read it if you feel you can master the other sheets anyway.</t>
  </si>
  <si>
    <t>i=clone ID</t>
  </si>
  <si>
    <r>
      <t>p</t>
    </r>
    <r>
      <rPr>
        <vertAlign val="subscript"/>
        <sz val="10"/>
        <rFont val="MS Sans Serif"/>
        <family val="2"/>
      </rPr>
      <t>i</t>
    </r>
    <r>
      <rPr>
        <sz val="10"/>
        <rFont val="MS Sans Serif"/>
        <family val="0"/>
      </rPr>
      <t>=proportion clone i is used in</t>
    </r>
  </si>
  <si>
    <r>
      <t>g</t>
    </r>
    <r>
      <rPr>
        <vertAlign val="subscript"/>
        <sz val="10"/>
        <rFont val="MS Sans Serif"/>
        <family val="2"/>
      </rPr>
      <t>i</t>
    </r>
    <r>
      <rPr>
        <sz val="10"/>
        <rFont val="MS Sans Serif"/>
        <family val="0"/>
      </rPr>
      <t>=genetic value of clone i</t>
    </r>
  </si>
  <si>
    <t>Clone ID</t>
  </si>
  <si>
    <t xml:space="preserve">i </t>
  </si>
  <si>
    <r>
      <t>g</t>
    </r>
    <r>
      <rPr>
        <vertAlign val="subscript"/>
        <sz val="10"/>
        <rFont val="MS Sans Serif"/>
        <family val="2"/>
      </rPr>
      <t>i</t>
    </r>
  </si>
  <si>
    <r>
      <t>p</t>
    </r>
    <r>
      <rPr>
        <vertAlign val="subscript"/>
        <sz val="10"/>
        <rFont val="MS Sans Serif"/>
        <family val="2"/>
      </rPr>
      <t>i</t>
    </r>
  </si>
  <si>
    <r>
      <t>p</t>
    </r>
    <r>
      <rPr>
        <vertAlign val="subscript"/>
        <sz val="10"/>
        <rFont val="MS Sans Serif"/>
        <family val="2"/>
      </rPr>
      <t>i</t>
    </r>
    <r>
      <rPr>
        <vertAlign val="superscript"/>
        <sz val="10"/>
        <rFont val="MS Sans Serif"/>
        <family val="2"/>
      </rPr>
      <t>2</t>
    </r>
  </si>
  <si>
    <r>
      <t>g</t>
    </r>
    <r>
      <rPr>
        <vertAlign val="subscript"/>
        <sz val="10"/>
        <rFont val="Arial"/>
        <family val="2"/>
      </rPr>
      <t>i</t>
    </r>
    <r>
      <rPr>
        <sz val="10"/>
        <rFont val="Arial"/>
        <family val="0"/>
      </rPr>
      <t>p</t>
    </r>
    <r>
      <rPr>
        <vertAlign val="subscript"/>
        <sz val="10"/>
        <rFont val="Arial"/>
        <family val="2"/>
      </rPr>
      <t>i</t>
    </r>
  </si>
  <si>
    <t>Trunc selection
of N=</t>
  </si>
  <si>
    <t>clones is
assumed</t>
  </si>
  <si>
    <r>
      <t>this makes p</t>
    </r>
    <r>
      <rPr>
        <vertAlign val="subscript"/>
        <sz val="10"/>
        <rFont val="MS Sans Serif"/>
        <family val="2"/>
      </rPr>
      <t>i</t>
    </r>
    <r>
      <rPr>
        <sz val="10"/>
        <rFont val="MS Sans Serif"/>
        <family val="0"/>
      </rPr>
      <t>=1/N=</t>
    </r>
  </si>
  <si>
    <t>N2022</t>
  </si>
  <si>
    <r>
      <t>The problem is to find an optimal balance between G (gain) and N</t>
    </r>
    <r>
      <rPr>
        <vertAlign val="subscript"/>
        <sz val="10"/>
        <rFont val="MS Sans Serif"/>
        <family val="2"/>
      </rPr>
      <t>e</t>
    </r>
    <r>
      <rPr>
        <sz val="10"/>
        <rFont val="MS Sans Serif"/>
        <family val="0"/>
      </rPr>
      <t xml:space="preserve"> (effective number)</t>
    </r>
  </si>
  <si>
    <t>L2009</t>
  </si>
  <si>
    <r>
      <t>That is done by finding the proportions p</t>
    </r>
    <r>
      <rPr>
        <vertAlign val="subscript"/>
        <sz val="10"/>
        <rFont val="MS Sans Serif"/>
        <family val="2"/>
      </rPr>
      <t>i</t>
    </r>
    <r>
      <rPr>
        <sz val="10"/>
        <rFont val="MS Sans Serif"/>
        <family val="0"/>
      </rPr>
      <t xml:space="preserve"> (proportion of genotype i) maximizing B (benefit, "net gain")</t>
    </r>
  </si>
  <si>
    <t>L2017</t>
  </si>
  <si>
    <t>M2013</t>
  </si>
  <si>
    <t>(it is used only for benefit calculation)</t>
  </si>
  <si>
    <t>E1001</t>
  </si>
  <si>
    <t>L2001</t>
  </si>
  <si>
    <t>N2015</t>
  </si>
  <si>
    <t>M2017</t>
  </si>
  <si>
    <t>E2002</t>
  </si>
  <si>
    <t>M2020</t>
  </si>
  <si>
    <t>N2027</t>
  </si>
  <si>
    <t>E2004</t>
  </si>
  <si>
    <t>L2018</t>
  </si>
  <si>
    <t>The data example used are real values of the Maglehem spruce seed orchard (Bondesson &amp; Lindgren)</t>
  </si>
  <si>
    <t>N2021</t>
  </si>
  <si>
    <t>Litterature: Lindgren 1974…</t>
  </si>
  <si>
    <t>N2024</t>
  </si>
  <si>
    <t>L2008</t>
  </si>
  <si>
    <t>E1005</t>
  </si>
  <si>
    <t>M2016</t>
  </si>
  <si>
    <t>M2001</t>
  </si>
  <si>
    <t>E2003</t>
  </si>
  <si>
    <t>M2019</t>
  </si>
  <si>
    <t>L2016</t>
  </si>
  <si>
    <t>N2020</t>
  </si>
  <si>
    <t>M2009</t>
  </si>
  <si>
    <t>M1001</t>
  </si>
  <si>
    <t>N2025</t>
  </si>
  <si>
    <t>E2007</t>
  </si>
  <si>
    <t>E2005</t>
  </si>
  <si>
    <t>N2018</t>
  </si>
  <si>
    <t>M2018</t>
  </si>
  <si>
    <t>L2002</t>
  </si>
  <si>
    <t>E2006</t>
  </si>
  <si>
    <t>M2006</t>
  </si>
  <si>
    <t>L2015</t>
  </si>
  <si>
    <t>L2006</t>
  </si>
  <si>
    <t>L3002</t>
  </si>
  <si>
    <t>Sum</t>
  </si>
  <si>
    <t>You can use a different number of entries, but when some references in the output must be changed, probably you will do that be changing the number of rows.</t>
  </si>
  <si>
    <t>Mean</t>
  </si>
  <si>
    <t>sd</t>
  </si>
  <si>
    <t>G</t>
  </si>
  <si>
    <r>
      <t>N</t>
    </r>
    <r>
      <rPr>
        <vertAlign val="subscript"/>
        <sz val="10"/>
        <rFont val="MS Sans Serif"/>
        <family val="2"/>
      </rPr>
      <t>e</t>
    </r>
    <r>
      <rPr>
        <sz val="10"/>
        <rFont val="MS Sans Serif"/>
        <family val="0"/>
      </rPr>
      <t>=N</t>
    </r>
    <r>
      <rPr>
        <vertAlign val="subscript"/>
        <sz val="10"/>
        <rFont val="MS Sans Serif"/>
        <family val="2"/>
      </rPr>
      <t>s</t>
    </r>
  </si>
  <si>
    <t>B</t>
  </si>
  <si>
    <t>G=</t>
  </si>
  <si>
    <r>
      <t>N</t>
    </r>
    <r>
      <rPr>
        <vertAlign val="subscript"/>
        <sz val="10"/>
        <rFont val="MS Sans Serif"/>
        <family val="2"/>
      </rPr>
      <t>e=</t>
    </r>
  </si>
  <si>
    <r>
      <t>g</t>
    </r>
    <r>
      <rPr>
        <vertAlign val="subscript"/>
        <sz val="10"/>
        <rFont val="MS Sans Serif"/>
        <family val="2"/>
      </rPr>
      <t>0</t>
    </r>
    <r>
      <rPr>
        <sz val="10"/>
        <rFont val="MS Sans Serif"/>
        <family val="2"/>
      </rPr>
      <t xml:space="preserve"> (&lt;g</t>
    </r>
    <r>
      <rPr>
        <vertAlign val="subscript"/>
        <sz val="10"/>
        <rFont val="MS Sans Serif"/>
        <family val="2"/>
      </rPr>
      <t>1)=</t>
    </r>
  </si>
  <si>
    <t>b(&gt;0)=</t>
  </si>
  <si>
    <t>b=slope of optimal line</t>
  </si>
  <si>
    <r>
      <t>f</t>
    </r>
    <r>
      <rPr>
        <vertAlign val="subscript"/>
        <sz val="10"/>
        <color indexed="18"/>
        <rFont val="MS Sans Serif"/>
        <family val="2"/>
      </rPr>
      <t>i</t>
    </r>
    <r>
      <rPr>
        <sz val="10"/>
        <color indexed="18"/>
        <rFont val="MS Sans Serif"/>
        <family val="2"/>
      </rPr>
      <t xml:space="preserve"> </t>
    </r>
  </si>
  <si>
    <r>
      <t>p</t>
    </r>
    <r>
      <rPr>
        <vertAlign val="subscript"/>
        <sz val="10"/>
        <color indexed="18"/>
        <rFont val="MS Sans Serif"/>
        <family val="2"/>
      </rPr>
      <t>i</t>
    </r>
    <r>
      <rPr>
        <sz val="10"/>
        <color indexed="18"/>
        <rFont val="MS Sans Serif"/>
        <family val="2"/>
      </rPr>
      <t xml:space="preserve"> </t>
    </r>
  </si>
  <si>
    <r>
      <t>f</t>
    </r>
    <r>
      <rPr>
        <vertAlign val="subscript"/>
        <sz val="10"/>
        <color indexed="14"/>
        <rFont val="MS Sans Serif"/>
        <family val="2"/>
      </rPr>
      <t>i</t>
    </r>
    <r>
      <rPr>
        <sz val="10"/>
        <color indexed="14"/>
        <rFont val="MS Sans Serif"/>
        <family val="2"/>
      </rPr>
      <t xml:space="preserve"> </t>
    </r>
  </si>
  <si>
    <r>
      <t>p</t>
    </r>
    <r>
      <rPr>
        <vertAlign val="subscript"/>
        <sz val="10"/>
        <color indexed="14"/>
        <rFont val="MS Sans Serif"/>
        <family val="2"/>
      </rPr>
      <t>i</t>
    </r>
    <r>
      <rPr>
        <sz val="10"/>
        <color indexed="14"/>
        <rFont val="MS Sans Serif"/>
        <family val="2"/>
      </rPr>
      <t xml:space="preserve"> </t>
    </r>
  </si>
  <si>
    <r>
      <t>p</t>
    </r>
    <r>
      <rPr>
        <vertAlign val="subscript"/>
        <sz val="10"/>
        <color indexed="11"/>
        <rFont val="MS Sans Serif"/>
        <family val="2"/>
      </rPr>
      <t>i</t>
    </r>
    <r>
      <rPr>
        <sz val="10"/>
        <color indexed="11"/>
        <rFont val="MS Sans Serif"/>
        <family val="2"/>
      </rPr>
      <t xml:space="preserve"> </t>
    </r>
  </si>
  <si>
    <t>B=</t>
  </si>
  <si>
    <t>Before thinning</t>
  </si>
  <si>
    <t>Linear deployment thinning</t>
  </si>
  <si>
    <t>Truncation selection</t>
  </si>
  <si>
    <t>Alternative 1</t>
  </si>
  <si>
    <t>Alternative 2</t>
  </si>
  <si>
    <t>Ramets</t>
  </si>
  <si>
    <t>The average genetic value of remaining ramets</t>
  </si>
  <si>
    <r>
      <t>N</t>
    </r>
    <r>
      <rPr>
        <vertAlign val="subscript"/>
        <sz val="10"/>
        <rFont val="MS Sans Serif"/>
        <family val="2"/>
      </rPr>
      <t>e</t>
    </r>
    <r>
      <rPr>
        <sz val="10"/>
        <rFont val="MS Sans Serif"/>
        <family val="0"/>
      </rPr>
      <t>=</t>
    </r>
  </si>
  <si>
    <r>
      <t>g</t>
    </r>
    <r>
      <rPr>
        <vertAlign val="subscript"/>
        <sz val="10"/>
        <rFont val="Arial"/>
        <family val="2"/>
      </rPr>
      <t>i</t>
    </r>
    <r>
      <rPr>
        <sz val="10"/>
        <rFont val="Arial"/>
        <family val="0"/>
      </rPr>
      <t>=genetic value</t>
    </r>
  </si>
  <si>
    <t>mv=</t>
  </si>
  <si>
    <r>
      <t>g</t>
    </r>
    <r>
      <rPr>
        <vertAlign val="subscript"/>
        <sz val="10"/>
        <rFont val="Arial"/>
        <family val="2"/>
      </rPr>
      <t>0</t>
    </r>
    <r>
      <rPr>
        <sz val="10"/>
        <rFont val="Arial"/>
        <family val="0"/>
      </rPr>
      <t>=</t>
    </r>
  </si>
  <si>
    <t>sd=</t>
  </si>
  <si>
    <t>b=</t>
  </si>
  <si>
    <r>
      <t>p</t>
    </r>
    <r>
      <rPr>
        <vertAlign val="subscript"/>
        <sz val="10"/>
        <rFont val="Arial"/>
        <family val="2"/>
      </rPr>
      <t>i</t>
    </r>
    <r>
      <rPr>
        <sz val="10"/>
        <rFont val="Arial"/>
        <family val="0"/>
      </rPr>
      <t>=proportion</t>
    </r>
  </si>
  <si>
    <t>Genetic</t>
  </si>
  <si>
    <t>value</t>
  </si>
  <si>
    <t>Line</t>
  </si>
  <si>
    <t>limit cons</t>
  </si>
  <si>
    <t>Limit cons</t>
  </si>
  <si>
    <t>ramets</t>
  </si>
  <si>
    <t>Number of ramets before and after thinning</t>
  </si>
  <si>
    <t xml:space="preserve">Clone </t>
  </si>
  <si>
    <t>Remaining ramets after thinning</t>
  </si>
  <si>
    <t>ID</t>
  </si>
  <si>
    <t>Trunc 1</t>
  </si>
  <si>
    <t>Trunc 2</t>
  </si>
  <si>
    <r>
      <t>N</t>
    </r>
    <r>
      <rPr>
        <vertAlign val="subscript"/>
        <sz val="10"/>
        <rFont val="MS Sans Serif"/>
        <family val="2"/>
      </rPr>
      <t>e</t>
    </r>
  </si>
  <si>
    <t>Gain</t>
  </si>
  <si>
    <t>Comments:</t>
  </si>
  <si>
    <t>One has to accept that truncation selection maximizes gain</t>
  </si>
  <si>
    <t>But truncation selection gives lower effective number</t>
  </si>
  <si>
    <t>If truncation selection should give a certain effective number</t>
  </si>
  <si>
    <t>more ramets remain and the gain is lower</t>
  </si>
  <si>
    <t>An optimal utilization solution can be find</t>
  </si>
  <si>
    <t>there effective number is the same and gain higher</t>
  </si>
  <si>
    <t>but fewer ramets remain</t>
  </si>
  <si>
    <t>Linear deployment 1</t>
  </si>
  <si>
    <t>Linear deployment 2</t>
  </si>
  <si>
    <t>Table. Clones, breeding values, suggested linear deployment of ramet number and proportions</t>
  </si>
  <si>
    <t>Candidates=</t>
  </si>
  <si>
    <t>N=</t>
  </si>
  <si>
    <t>Choose your own proportions (customized)</t>
  </si>
  <si>
    <r>
      <t>p</t>
    </r>
    <r>
      <rPr>
        <vertAlign val="subscript"/>
        <sz val="10"/>
        <color indexed="50"/>
        <rFont val="MS Sans Serif"/>
        <family val="2"/>
      </rPr>
      <t>i</t>
    </r>
    <r>
      <rPr>
        <sz val="10"/>
        <color indexed="50"/>
        <rFont val="MS Sans Serif"/>
        <family val="2"/>
      </rPr>
      <t xml:space="preserve"> </t>
    </r>
  </si>
  <si>
    <t>BV</t>
  </si>
  <si>
    <t>Trunc</t>
  </si>
  <si>
    <t>Custom</t>
  </si>
  <si>
    <r>
      <t>Given are g</t>
    </r>
    <r>
      <rPr>
        <vertAlign val="subscript"/>
        <sz val="10"/>
        <rFont val="MS Sans Serif"/>
        <family val="2"/>
      </rPr>
      <t xml:space="preserve">i </t>
    </r>
    <r>
      <rPr>
        <sz val="10"/>
        <rFont val="MS Sans Serif"/>
        <family val="0"/>
      </rPr>
      <t>(the genetic value of genotype i) and the parameter c (sometimes called penalty constant)</t>
    </r>
  </si>
  <si>
    <t>G=genetic gain (average breeding value of the ramets in the orchard)</t>
  </si>
  <si>
    <r>
      <t>N</t>
    </r>
    <r>
      <rPr>
        <vertAlign val="subscript"/>
        <sz val="10"/>
        <rFont val="Arial"/>
        <family val="2"/>
      </rPr>
      <t>e</t>
    </r>
    <r>
      <rPr>
        <sz val="10"/>
        <rFont val="Arial"/>
        <family val="0"/>
      </rPr>
      <t>=effective population size, effective number of clones (Status number)</t>
    </r>
  </si>
  <si>
    <t>b=slope of optimal line (negative only if there is a "negative" character)</t>
  </si>
  <si>
    <t>i=clone identification (number)</t>
  </si>
  <si>
    <t>F=total ramet number in seed orchard</t>
  </si>
  <si>
    <r>
      <t>p</t>
    </r>
    <r>
      <rPr>
        <vertAlign val="subscript"/>
        <sz val="10"/>
        <rFont val="Arial"/>
        <family val="2"/>
      </rPr>
      <t>i</t>
    </r>
    <r>
      <rPr>
        <sz val="10"/>
        <rFont val="Arial"/>
        <family val="0"/>
      </rPr>
      <t>=proportion for the use of clone I (=fi/F)</t>
    </r>
  </si>
  <si>
    <t>N=number of clones represented by ramets in the seed orchard (or clonal mix)</t>
  </si>
  <si>
    <t>Sum=</t>
  </si>
  <si>
    <t>No user data should appear under this line!!!!</t>
  </si>
  <si>
    <r>
      <t>g</t>
    </r>
    <r>
      <rPr>
        <vertAlign val="subscript"/>
        <sz val="10"/>
        <rFont val="MS Sans Serif"/>
        <family val="2"/>
      </rPr>
      <t>0</t>
    </r>
    <r>
      <rPr>
        <sz val="10"/>
        <rFont val="MS Sans Serif"/>
        <family val="2"/>
      </rPr>
      <t xml:space="preserve"> (&lt;g</t>
    </r>
    <r>
      <rPr>
        <vertAlign val="subscript"/>
        <sz val="10"/>
        <rFont val="MS Sans Serif"/>
        <family val="2"/>
      </rPr>
      <t>1</t>
    </r>
    <r>
      <rPr>
        <sz val="10"/>
        <rFont val="MS Sans Serif"/>
        <family val="2"/>
      </rPr>
      <t>)=</t>
    </r>
  </si>
  <si>
    <t>c'=</t>
  </si>
  <si>
    <t>Benefit (under given c' and genetic values) is maximized if the representation of the clone is linearly related to how high genetic value it has</t>
  </si>
  <si>
    <t>Gene diversity=</t>
  </si>
  <si>
    <t>The parameter c'=</t>
  </si>
  <si>
    <r>
      <t>f</t>
    </r>
    <r>
      <rPr>
        <vertAlign val="subscript"/>
        <sz val="10"/>
        <color indexed="17"/>
        <rFont val="MS Sans Serif"/>
        <family val="2"/>
      </rPr>
      <t>i</t>
    </r>
    <r>
      <rPr>
        <sz val="10"/>
        <color indexed="17"/>
        <rFont val="MS Sans Serif"/>
        <family val="2"/>
      </rPr>
      <t xml:space="preserve"> </t>
    </r>
  </si>
  <si>
    <t>Standardized gi</t>
  </si>
  <si>
    <t xml:space="preserve">KB53 </t>
  </si>
  <si>
    <t xml:space="preserve">KB46 </t>
  </si>
  <si>
    <t xml:space="preserve">KW12 </t>
  </si>
  <si>
    <t xml:space="preserve">KB54 </t>
  </si>
  <si>
    <t xml:space="preserve">KW18 </t>
  </si>
  <si>
    <t xml:space="preserve">KW6 </t>
  </si>
  <si>
    <t xml:space="preserve">KB10 </t>
  </si>
  <si>
    <t xml:space="preserve">KB1 </t>
  </si>
  <si>
    <t xml:space="preserve">KB21 </t>
  </si>
  <si>
    <t xml:space="preserve">KW85 </t>
  </si>
  <si>
    <t xml:space="preserve">KW77 </t>
  </si>
  <si>
    <t xml:space="preserve">KW53 </t>
  </si>
  <si>
    <t xml:space="preserve">KB29 </t>
  </si>
  <si>
    <t xml:space="preserve">KW73 </t>
  </si>
  <si>
    <t xml:space="preserve">KB23 </t>
  </si>
  <si>
    <t xml:space="preserve">KW78 </t>
  </si>
  <si>
    <t xml:space="preserve">KB39 </t>
  </si>
  <si>
    <t xml:space="preserve">KB8 </t>
  </si>
  <si>
    <t xml:space="preserve">KW61 </t>
  </si>
  <si>
    <t xml:space="preserve">KW36 </t>
  </si>
  <si>
    <t xml:space="preserve">KB27 </t>
  </si>
  <si>
    <t xml:space="preserve">KW9 </t>
  </si>
  <si>
    <t xml:space="preserve">KB40 </t>
  </si>
  <si>
    <t xml:space="preserve">KB19 </t>
  </si>
  <si>
    <t xml:space="preserve">KW11 </t>
  </si>
  <si>
    <t xml:space="preserve">KW60 </t>
  </si>
  <si>
    <t xml:space="preserve">KW29 </t>
  </si>
  <si>
    <t xml:space="preserve">KW13 </t>
  </si>
  <si>
    <t xml:space="preserve">KW25 </t>
  </si>
  <si>
    <t xml:space="preserve">KW81 </t>
  </si>
  <si>
    <t xml:space="preserve">KW71 </t>
  </si>
  <si>
    <t xml:space="preserve">KB12 </t>
  </si>
  <si>
    <t xml:space="preserve">KW92 </t>
  </si>
  <si>
    <t xml:space="preserve">KW63 </t>
  </si>
  <si>
    <t xml:space="preserve">KW90 </t>
  </si>
  <si>
    <t xml:space="preserve">KB37 </t>
  </si>
  <si>
    <t xml:space="preserve">KW56 </t>
  </si>
  <si>
    <t xml:space="preserve">KB51 </t>
  </si>
  <si>
    <t xml:space="preserve">KB17 </t>
  </si>
  <si>
    <t xml:space="preserve">KW30 </t>
  </si>
  <si>
    <t xml:space="preserve">KW4 </t>
  </si>
  <si>
    <t xml:space="preserve">KB30 </t>
  </si>
  <si>
    <t xml:space="preserve">KW1 </t>
  </si>
  <si>
    <t xml:space="preserve">KW72 </t>
  </si>
  <si>
    <t xml:space="preserve">KB11 </t>
  </si>
  <si>
    <t xml:space="preserve">KB9 </t>
  </si>
  <si>
    <t xml:space="preserve">KB25 </t>
  </si>
  <si>
    <t xml:space="preserve">KB18 </t>
  </si>
  <si>
    <t xml:space="preserve">KB14 </t>
  </si>
  <si>
    <t xml:space="preserve">KW83 </t>
  </si>
  <si>
    <t xml:space="preserve">KW26 </t>
  </si>
  <si>
    <t xml:space="preserve">KW54 </t>
  </si>
  <si>
    <t xml:space="preserve">KW80 </t>
  </si>
  <si>
    <t xml:space="preserve">KW33 </t>
  </si>
  <si>
    <t xml:space="preserve">KB38 </t>
  </si>
  <si>
    <t xml:space="preserve">KW87 </t>
  </si>
  <si>
    <t xml:space="preserve">KW14 </t>
  </si>
  <si>
    <t xml:space="preserve">KB26 </t>
  </si>
  <si>
    <t xml:space="preserve">KB45 </t>
  </si>
  <si>
    <t xml:space="preserve">KW19 </t>
  </si>
  <si>
    <t xml:space="preserve">KW41 </t>
  </si>
  <si>
    <t xml:space="preserve">KW8 </t>
  </si>
  <si>
    <t xml:space="preserve">KB3 </t>
  </si>
  <si>
    <t xml:space="preserve">KB7 </t>
  </si>
  <si>
    <t xml:space="preserve">KB2 </t>
  </si>
  <si>
    <t>Note that the N-value maximizing B for a certain c' is a rational to use that c'</t>
  </si>
  <si>
    <t>Rank</t>
  </si>
  <si>
    <t>Stdev</t>
  </si>
  <si>
    <t xml:space="preserve">KW10 </t>
  </si>
  <si>
    <t xml:space="preserve">KW16 </t>
  </si>
  <si>
    <t xml:space="preserve">KW17 </t>
  </si>
  <si>
    <t xml:space="preserve">KW20 </t>
  </si>
  <si>
    <t xml:space="preserve">KW21 </t>
  </si>
  <si>
    <t xml:space="preserve">KW22 </t>
  </si>
  <si>
    <t xml:space="preserve">KW23 </t>
  </si>
  <si>
    <t xml:space="preserve">KW24 </t>
  </si>
  <si>
    <t xml:space="preserve">KW27 </t>
  </si>
  <si>
    <t xml:space="preserve">KW28 </t>
  </si>
  <si>
    <t xml:space="preserve">KW31 </t>
  </si>
  <si>
    <t xml:space="preserve">KW32 </t>
  </si>
  <si>
    <t xml:space="preserve">KW35 </t>
  </si>
  <si>
    <t xml:space="preserve">KW37 </t>
  </si>
  <si>
    <t xml:space="preserve">KW38 </t>
  </si>
  <si>
    <t xml:space="preserve">KW39 </t>
  </si>
  <si>
    <t xml:space="preserve">KW40 </t>
  </si>
  <si>
    <t xml:space="preserve">KW42 </t>
  </si>
  <si>
    <t xml:space="preserve">KW43 </t>
  </si>
  <si>
    <t xml:space="preserve">KW44 </t>
  </si>
  <si>
    <t xml:space="preserve">KW46 </t>
  </si>
  <si>
    <t xml:space="preserve">KW47 </t>
  </si>
  <si>
    <t xml:space="preserve">KW48 </t>
  </si>
  <si>
    <t xml:space="preserve">KW49 </t>
  </si>
  <si>
    <t xml:space="preserve">KW50 </t>
  </si>
  <si>
    <t xml:space="preserve">KW51 </t>
  </si>
  <si>
    <t xml:space="preserve">KW52 </t>
  </si>
  <si>
    <t xml:space="preserve">KW55 </t>
  </si>
  <si>
    <t xml:space="preserve">KW57 </t>
  </si>
  <si>
    <t xml:space="preserve">KW58 </t>
  </si>
  <si>
    <t xml:space="preserve">KW62 </t>
  </si>
  <si>
    <t xml:space="preserve">KW65 </t>
  </si>
  <si>
    <t xml:space="preserve">KW69 </t>
  </si>
  <si>
    <t xml:space="preserve">KW70 </t>
  </si>
  <si>
    <t xml:space="preserve">KW74 </t>
  </si>
  <si>
    <t xml:space="preserve">KW75 </t>
  </si>
  <si>
    <t xml:space="preserve">KW76 </t>
  </si>
  <si>
    <t xml:space="preserve">KW79 </t>
  </si>
  <si>
    <t xml:space="preserve">KW82 </t>
  </si>
  <si>
    <t xml:space="preserve">KW84 </t>
  </si>
  <si>
    <t xml:space="preserve">KW86 </t>
  </si>
  <si>
    <t xml:space="preserve">KW88 </t>
  </si>
  <si>
    <t xml:space="preserve">KW89 </t>
  </si>
  <si>
    <t xml:space="preserve">KW91 </t>
  </si>
  <si>
    <t xml:space="preserve">KW93 </t>
  </si>
  <si>
    <t xml:space="preserve">CB 1 </t>
  </si>
  <si>
    <t xml:space="preserve">CB 2 </t>
  </si>
  <si>
    <t xml:space="preserve">CB 3 </t>
  </si>
  <si>
    <t xml:space="preserve">CN 2 </t>
  </si>
  <si>
    <t xml:space="preserve">CN 4 </t>
  </si>
  <si>
    <t xml:space="preserve">CN 5 </t>
  </si>
  <si>
    <t xml:space="preserve">KB13 </t>
  </si>
  <si>
    <t xml:space="preserve">KB15 </t>
  </si>
  <si>
    <t xml:space="preserve">KB20 </t>
  </si>
  <si>
    <t xml:space="preserve">KB22 </t>
  </si>
  <si>
    <t xml:space="preserve">KB24 </t>
  </si>
  <si>
    <t xml:space="preserve">KB28 </t>
  </si>
  <si>
    <t xml:space="preserve">KB31 </t>
  </si>
  <si>
    <t xml:space="preserve">KB32 </t>
  </si>
  <si>
    <t xml:space="preserve">KB33 </t>
  </si>
  <si>
    <t xml:space="preserve">KB34 </t>
  </si>
  <si>
    <t xml:space="preserve">KB35 </t>
  </si>
  <si>
    <t xml:space="preserve">KB36 </t>
  </si>
  <si>
    <t xml:space="preserve">KB41 </t>
  </si>
  <si>
    <t xml:space="preserve">KB42 </t>
  </si>
  <si>
    <t xml:space="preserve">KB44 </t>
  </si>
  <si>
    <t xml:space="preserve">KB4 </t>
  </si>
  <si>
    <t xml:space="preserve">KB5 </t>
  </si>
  <si>
    <t xml:space="preserve">KB6 </t>
  </si>
  <si>
    <t xml:space="preserve">KW2 </t>
  </si>
  <si>
    <t xml:space="preserve">KW3 </t>
  </si>
  <si>
    <t xml:space="preserve">KW5 </t>
  </si>
  <si>
    <t xml:space="preserve">KW7 </t>
  </si>
  <si>
    <t xml:space="preserve">KG1 </t>
  </si>
  <si>
    <t>Average</t>
  </si>
  <si>
    <r>
      <t>g</t>
    </r>
    <r>
      <rPr>
        <vertAlign val="subscript"/>
        <sz val="10"/>
        <rFont val="MS Sans Serif"/>
        <family val="2"/>
      </rPr>
      <t>i</t>
    </r>
    <r>
      <rPr>
        <sz val="10"/>
        <rFont val="MS Sans Serif"/>
        <family val="0"/>
      </rPr>
      <t>=breeding value of clone i</t>
    </r>
  </si>
  <si>
    <r>
      <t>Given             g</t>
    </r>
    <r>
      <rPr>
        <vertAlign val="subscript"/>
        <sz val="10"/>
        <rFont val="MS Sans Serif"/>
        <family val="2"/>
      </rPr>
      <t>i</t>
    </r>
  </si>
  <si>
    <t>Kyu-Suk Kang made much to get this example in order in March 99</t>
  </si>
  <si>
    <t>last</t>
  </si>
  <si>
    <t>first</t>
  </si>
  <si>
    <t>p</t>
  </si>
  <si>
    <t xml:space="preserve">Aim </t>
  </si>
  <si>
    <t>Method</t>
  </si>
  <si>
    <t>Technical</t>
  </si>
  <si>
    <t>Acknowledgements</t>
  </si>
  <si>
    <t>General about EXCEL sheets on Dag Lindgrens web sites</t>
  </si>
  <si>
    <t>Initial settings</t>
  </si>
  <si>
    <t>Oversimplifications</t>
  </si>
  <si>
    <t>Suggested changes</t>
  </si>
  <si>
    <t>Colour and font meaning:</t>
  </si>
  <si>
    <t>Input</t>
  </si>
  <si>
    <t>Results</t>
  </si>
  <si>
    <t>Internal</t>
  </si>
  <si>
    <t>Truncation selection of Ne clones</t>
  </si>
  <si>
    <t>The figures below are needed only for advanced use</t>
  </si>
  <si>
    <t>This sheet was latest revised by Dag Lindgren 000824</t>
  </si>
  <si>
    <t>About</t>
  </si>
  <si>
    <r>
      <t>Solutions can be found by manually varying the intercept (g</t>
    </r>
    <r>
      <rPr>
        <vertAlign val="subscript"/>
        <sz val="10"/>
        <rFont val="Arial"/>
        <family val="2"/>
      </rPr>
      <t>0</t>
    </r>
    <r>
      <rPr>
        <sz val="10"/>
        <rFont val="Arial"/>
        <family val="0"/>
      </rPr>
      <t>, clones with breed values below this value will be completely removed) and the slope (b) of the line!</t>
    </r>
  </si>
  <si>
    <t>History</t>
  </si>
  <si>
    <t xml:space="preserve"> Last edit DL 2003-01-06</t>
  </si>
  <si>
    <r>
      <t xml:space="preserve">Example: calculating gain and </t>
    </r>
    <r>
      <rPr>
        <b/>
        <i/>
        <sz val="11"/>
        <rFont val="Arial"/>
        <family val="2"/>
      </rPr>
      <t>N</t>
    </r>
    <r>
      <rPr>
        <b/>
        <i/>
        <vertAlign val="subscript"/>
        <sz val="11"/>
        <rFont val="Arial"/>
        <family val="2"/>
      </rPr>
      <t>s</t>
    </r>
    <r>
      <rPr>
        <b/>
        <sz val="11"/>
        <rFont val="Arial"/>
        <family val="2"/>
      </rPr>
      <t xml:space="preserve"> in a planned seed orchard of Korean red pine</t>
    </r>
  </si>
  <si>
    <t>This sheet is just for demonstrating an example!</t>
  </si>
  <si>
    <t>Lin dep</t>
  </si>
  <si>
    <t>Problem</t>
  </si>
  <si>
    <t>Mean ht 36</t>
  </si>
  <si>
    <t>No. ramets</t>
  </si>
  <si>
    <t>This sheet helps with genetic thinning using the "linear" concept</t>
  </si>
  <si>
    <t>Explanations</t>
  </si>
  <si>
    <t>Example:Rogueing of seed orchard</t>
  </si>
  <si>
    <t>∞</t>
  </si>
  <si>
    <t xml:space="preserve"> - ∞</t>
  </si>
  <si>
    <t>Main alternative</t>
  </si>
  <si>
    <t>Second alternative</t>
  </si>
  <si>
    <t>Truncation</t>
  </si>
  <si>
    <t>%</t>
  </si>
  <si>
    <t xml:space="preserve"> This sheet was revised 04-05-12</t>
  </si>
  <si>
    <t>Colour meaning:</t>
  </si>
  <si>
    <t xml:space="preserve"> This sheet was revised 04-06-12</t>
  </si>
  <si>
    <t>Integer</t>
  </si>
</sst>
</file>

<file path=xl/styles.xml><?xml version="1.0" encoding="utf-8"?>
<styleSheet xmlns="http://schemas.openxmlformats.org/spreadsheetml/2006/main">
  <numFmts count="5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0.0000"/>
    <numFmt numFmtId="183" formatCode=".0000"/>
    <numFmt numFmtId="184" formatCode=".000"/>
    <numFmt numFmtId="185" formatCode="#,##0&quot; kr&quot;_);\(#,##0&quot; kr&quot;\)"/>
    <numFmt numFmtId="186" formatCode="#,##0&quot; kr&quot;_);[Red]\(#,##0&quot; kr&quot;\)"/>
    <numFmt numFmtId="187" formatCode="#,##0.00&quot; kr&quot;_);\(#,##0.00&quot; kr&quot;\)"/>
    <numFmt numFmtId="188" formatCode="#,##0.00&quot; kr&quot;_);[Red]\(#,##0.00&quot; kr&quot;\)"/>
    <numFmt numFmtId="189" formatCode="yyyy\-mm\-dd"/>
    <numFmt numFmtId="190" formatCode="h\.mm\ AM/PM"/>
    <numFmt numFmtId="191" formatCode="h\.mm\.ss\ AM/PM"/>
    <numFmt numFmtId="192" formatCode="hh\.mm"/>
    <numFmt numFmtId="193" formatCode="hh\.mm\.ss"/>
    <numFmt numFmtId="194" formatCode="yyyy\-mm\-dd\ hh\.mm"/>
    <numFmt numFmtId="195" formatCode="mm/dd/yy"/>
    <numFmt numFmtId="196" formatCode="mmmm\ d\,\ yyyy"/>
    <numFmt numFmtId="197" formatCode="0E+00"/>
    <numFmt numFmtId="198" formatCode="0.0000000"/>
    <numFmt numFmtId="199" formatCode="0.000000"/>
    <numFmt numFmtId="200" formatCode="0.00000"/>
    <numFmt numFmtId="201" formatCode="_-* #,##0.000\ _k_r_-;\-* #,##0.000\ _k_r_-;_-* &quot;-&quot;??\ _k_r_-;_-@_-"/>
    <numFmt numFmtId="202" formatCode="0.0E+00;\쿐"/>
    <numFmt numFmtId="203" formatCode="0E+00;\쿐"/>
    <numFmt numFmtId="204" formatCode="0.00E+00;\쿐"/>
    <numFmt numFmtId="205" formatCode="&quot;Yes&quot;;&quot;Yes&quot;;&quot;No&quot;"/>
    <numFmt numFmtId="206" formatCode="&quot;True&quot;;&quot;True&quot;;&quot;False&quot;"/>
    <numFmt numFmtId="207" formatCode="&quot;On&quot;;&quot;On&quot;;&quot;Off&quot;"/>
    <numFmt numFmtId="208" formatCode="[$€-2]\ #,##0.00_);[Red]\([$€-2]\ #,##0.00\)"/>
  </numFmts>
  <fonts count="90">
    <font>
      <sz val="10"/>
      <name val="Arial"/>
      <family val="0"/>
    </font>
    <font>
      <b/>
      <sz val="10"/>
      <name val="Arial"/>
      <family val="0"/>
    </font>
    <font>
      <i/>
      <sz val="10"/>
      <name val="Arial"/>
      <family val="0"/>
    </font>
    <font>
      <b/>
      <i/>
      <sz val="10"/>
      <name val="Arial"/>
      <family val="0"/>
    </font>
    <font>
      <sz val="10"/>
      <name val="MS Sans Serif"/>
      <family val="0"/>
    </font>
    <font>
      <sz val="8"/>
      <name val="Arial"/>
      <family val="0"/>
    </font>
    <font>
      <b/>
      <sz val="8"/>
      <name val="Arial"/>
      <family val="0"/>
    </font>
    <font>
      <vertAlign val="subscript"/>
      <sz val="10"/>
      <name val="MS Sans Serif"/>
      <family val="2"/>
    </font>
    <font>
      <sz val="10"/>
      <color indexed="10"/>
      <name val="MS Sans Serif"/>
      <family val="2"/>
    </font>
    <font>
      <sz val="10"/>
      <color indexed="12"/>
      <name val="MS Sans Serif"/>
      <family val="2"/>
    </font>
    <font>
      <vertAlign val="subscript"/>
      <sz val="10"/>
      <name val="Arial"/>
      <family val="2"/>
    </font>
    <font>
      <sz val="10"/>
      <color indexed="19"/>
      <name val="Arial"/>
      <family val="2"/>
    </font>
    <font>
      <b/>
      <sz val="10"/>
      <color indexed="14"/>
      <name val="Arial"/>
      <family val="0"/>
    </font>
    <font>
      <sz val="8"/>
      <color indexed="14"/>
      <name val="Arial"/>
      <family val="2"/>
    </font>
    <font>
      <sz val="8"/>
      <name val="Symbol"/>
      <family val="1"/>
    </font>
    <font>
      <b/>
      <sz val="12"/>
      <color indexed="14"/>
      <name val="Arial"/>
      <family val="2"/>
    </font>
    <font>
      <b/>
      <sz val="14"/>
      <color indexed="14"/>
      <name val="Arial"/>
      <family val="2"/>
    </font>
    <font>
      <sz val="10"/>
      <color indexed="8"/>
      <name val="Arial"/>
      <family val="2"/>
    </font>
    <font>
      <sz val="10"/>
      <color indexed="14"/>
      <name val="Arial"/>
      <family val="2"/>
    </font>
    <font>
      <sz val="12"/>
      <color indexed="14"/>
      <name val="MS Sans Serif"/>
      <family val="2"/>
    </font>
    <font>
      <b/>
      <sz val="10"/>
      <color indexed="10"/>
      <name val="MS Sans Serif"/>
      <family val="0"/>
    </font>
    <font>
      <b/>
      <sz val="10"/>
      <color indexed="12"/>
      <name val="MS Sans Serif"/>
      <family val="0"/>
    </font>
    <font>
      <vertAlign val="superscript"/>
      <sz val="10"/>
      <name val="MS Sans Serif"/>
      <family val="2"/>
    </font>
    <font>
      <sz val="10"/>
      <color indexed="14"/>
      <name val="MS Sans Serif"/>
      <family val="2"/>
    </font>
    <font>
      <vertAlign val="subscript"/>
      <sz val="10"/>
      <color indexed="14"/>
      <name val="MS Sans Serif"/>
      <family val="2"/>
    </font>
    <font>
      <b/>
      <sz val="9.5"/>
      <color indexed="14"/>
      <name val="MS Sans Serif"/>
      <family val="2"/>
    </font>
    <font>
      <sz val="10"/>
      <color indexed="18"/>
      <name val="MS Sans Serif"/>
      <family val="2"/>
    </font>
    <font>
      <sz val="10"/>
      <color indexed="11"/>
      <name val="MS Sans Serif"/>
      <family val="2"/>
    </font>
    <font>
      <vertAlign val="subscript"/>
      <sz val="10"/>
      <color indexed="11"/>
      <name val="MS Sans Serif"/>
      <family val="2"/>
    </font>
    <font>
      <vertAlign val="subscript"/>
      <sz val="10"/>
      <color indexed="18"/>
      <name val="MS Sans Serif"/>
      <family val="2"/>
    </font>
    <font>
      <sz val="8"/>
      <name val="Tahoma"/>
      <family val="0"/>
    </font>
    <font>
      <b/>
      <sz val="8"/>
      <name val="Tahoma"/>
      <family val="0"/>
    </font>
    <font>
      <b/>
      <sz val="8"/>
      <color indexed="10"/>
      <name val="Tahoma"/>
      <family val="2"/>
    </font>
    <font>
      <b/>
      <sz val="8"/>
      <color indexed="12"/>
      <name val="Tahoma"/>
      <family val="2"/>
    </font>
    <font>
      <sz val="10"/>
      <color indexed="12"/>
      <name val="Arial"/>
      <family val="2"/>
    </font>
    <font>
      <i/>
      <sz val="10"/>
      <color indexed="61"/>
      <name val="Arial"/>
      <family val="2"/>
    </font>
    <font>
      <i/>
      <u val="single"/>
      <sz val="10"/>
      <color indexed="61"/>
      <name val="Arial"/>
      <family val="2"/>
    </font>
    <font>
      <sz val="8.5"/>
      <name val="MS Sans Serif"/>
      <family val="2"/>
    </font>
    <font>
      <sz val="10"/>
      <color indexed="11"/>
      <name val="Arial"/>
      <family val="2"/>
    </font>
    <font>
      <sz val="10"/>
      <color indexed="50"/>
      <name val="MS Sans Serif"/>
      <family val="2"/>
    </font>
    <font>
      <vertAlign val="subscript"/>
      <sz val="10"/>
      <color indexed="50"/>
      <name val="MS Sans Serif"/>
      <family val="2"/>
    </font>
    <font>
      <sz val="10"/>
      <color indexed="20"/>
      <name val="Arial"/>
      <family val="2"/>
    </font>
    <font>
      <sz val="10"/>
      <color indexed="17"/>
      <name val="MS Sans Serif"/>
      <family val="2"/>
    </font>
    <font>
      <vertAlign val="subscript"/>
      <sz val="10"/>
      <color indexed="17"/>
      <name val="MS Sans Serif"/>
      <family val="2"/>
    </font>
    <font>
      <sz val="10"/>
      <color indexed="8"/>
      <name val="MS Sans Serif"/>
      <family val="2"/>
    </font>
    <font>
      <b/>
      <sz val="11"/>
      <name val="Arial"/>
      <family val="2"/>
    </font>
    <font>
      <b/>
      <i/>
      <sz val="11"/>
      <name val="Arial"/>
      <family val="2"/>
    </font>
    <font>
      <b/>
      <i/>
      <vertAlign val="subscript"/>
      <sz val="11"/>
      <name val="Arial"/>
      <family val="2"/>
    </font>
    <font>
      <sz val="10"/>
      <color indexed="10"/>
      <name val="Arial"/>
      <family val="0"/>
    </font>
    <font>
      <b/>
      <sz val="10"/>
      <color indexed="10"/>
      <name val="Arial"/>
      <family val="2"/>
    </font>
    <font>
      <i/>
      <vertAlign val="subscript"/>
      <sz val="10"/>
      <name val="Arial"/>
      <family val="2"/>
    </font>
    <font>
      <b/>
      <sz val="10"/>
      <color indexed="12"/>
      <name val="Arial"/>
      <family val="2"/>
    </font>
    <font>
      <sz val="10"/>
      <color indexed="42"/>
      <name val="Arial"/>
      <family val="2"/>
    </font>
    <font>
      <b/>
      <i/>
      <sz val="10"/>
      <color indexed="10"/>
      <name val="Arial"/>
      <family val="2"/>
    </font>
    <font>
      <sz val="10"/>
      <color indexed="22"/>
      <name val="Arial"/>
      <family val="2"/>
    </font>
    <font>
      <b/>
      <sz val="8"/>
      <color indexed="17"/>
      <name val="Tahoma"/>
      <family val="2"/>
    </font>
    <font>
      <sz val="8"/>
      <color indexed="10"/>
      <name val="Tahoma"/>
      <family val="2"/>
    </font>
    <font>
      <b/>
      <i/>
      <sz val="8"/>
      <color indexed="10"/>
      <name val="Tahoma"/>
      <family val="2"/>
    </font>
    <font>
      <sz val="8"/>
      <color indexed="12"/>
      <name val="Tahoma"/>
      <family val="2"/>
    </font>
    <font>
      <sz val="8"/>
      <color indexed="50"/>
      <name val="Tahoma"/>
      <family val="2"/>
    </font>
    <font>
      <sz val="8.5"/>
      <color indexed="12"/>
      <name val="MS Sans Serif"/>
      <family val="2"/>
    </font>
    <font>
      <sz val="8.5"/>
      <color indexed="14"/>
      <name val="MS Sans Serif"/>
      <family val="2"/>
    </font>
    <font>
      <sz val="8.5"/>
      <color indexed="11"/>
      <name val="MS Sans Serif"/>
      <family val="2"/>
    </font>
    <font>
      <sz val="10"/>
      <color indexed="16"/>
      <name val="Arial"/>
      <family val="2"/>
    </font>
    <font>
      <i/>
      <sz val="10"/>
      <color indexed="14"/>
      <name val="Arial"/>
      <family val="2"/>
    </font>
    <font>
      <b/>
      <sz val="12"/>
      <name val="Arial"/>
      <family val="2"/>
    </font>
    <font>
      <sz val="10"/>
      <name val="Times New Roman"/>
      <family val="1"/>
    </font>
    <font>
      <sz val="10"/>
      <name val="Courier"/>
      <family val="3"/>
    </font>
    <font>
      <b/>
      <sz val="10"/>
      <color indexed="20"/>
      <name val="Arial"/>
      <family val="2"/>
    </font>
    <font>
      <sz val="10"/>
      <color indexed="20"/>
      <name val="Symbol"/>
      <family val="1"/>
    </font>
    <font>
      <vertAlign val="subscript"/>
      <sz val="10"/>
      <color indexed="20"/>
      <name val="Arial"/>
      <family val="2"/>
    </font>
    <font>
      <vertAlign val="superscript"/>
      <sz val="10"/>
      <color indexed="20"/>
      <name val="Arial"/>
      <family val="2"/>
    </font>
    <font>
      <b/>
      <sz val="10"/>
      <name val="MS Sans Serif"/>
      <family val="2"/>
    </font>
    <font>
      <sz val="10"/>
      <color indexed="48"/>
      <name val="Arial"/>
      <family val="2"/>
    </font>
    <font>
      <b/>
      <sz val="8"/>
      <color indexed="50"/>
      <name val="Tahoma"/>
      <family val="2"/>
    </font>
    <font>
      <b/>
      <vertAlign val="subscript"/>
      <sz val="8"/>
      <color indexed="50"/>
      <name val="Tahoma"/>
      <family val="2"/>
    </font>
    <font>
      <u val="single"/>
      <sz val="10"/>
      <color indexed="12"/>
      <name val="Arial"/>
      <family val="0"/>
    </font>
    <font>
      <u val="single"/>
      <sz val="10"/>
      <color indexed="36"/>
      <name val="Arial"/>
      <family val="0"/>
    </font>
    <font>
      <sz val="10"/>
      <color indexed="55"/>
      <name val="MS Sans Serif"/>
      <family val="2"/>
    </font>
    <font>
      <b/>
      <sz val="12"/>
      <color indexed="14"/>
      <name val="MS Sans Serif"/>
      <family val="2"/>
    </font>
    <font>
      <sz val="9"/>
      <name val="Arial"/>
      <family val="2"/>
    </font>
    <font>
      <sz val="10"/>
      <color indexed="56"/>
      <name val="MS Sans Serif"/>
      <family val="2"/>
    </font>
    <font>
      <b/>
      <sz val="10"/>
      <color indexed="48"/>
      <name val="MS Sans Serif"/>
      <family val="2"/>
    </font>
    <font>
      <sz val="10"/>
      <color indexed="48"/>
      <name val="MS Sans Serif"/>
      <family val="2"/>
    </font>
    <font>
      <b/>
      <sz val="8"/>
      <color indexed="14"/>
      <name val="Tahoma"/>
      <family val="2"/>
    </font>
    <font>
      <i/>
      <sz val="8"/>
      <name val="Tahoma"/>
      <family val="2"/>
    </font>
    <font>
      <b/>
      <sz val="8"/>
      <color indexed="40"/>
      <name val="Tahoma"/>
      <family val="2"/>
    </font>
    <font>
      <sz val="8"/>
      <color indexed="40"/>
      <name val="Tahoma"/>
      <family val="2"/>
    </font>
    <font>
      <b/>
      <sz val="10"/>
      <color indexed="17"/>
      <name val="Arial"/>
      <family val="2"/>
    </font>
    <font>
      <b/>
      <sz val="8"/>
      <color indexed="57"/>
      <name val="Tahoma"/>
      <family val="2"/>
    </font>
  </fonts>
  <fills count="10">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12"/>
        <bgColor indexed="64"/>
      </patternFill>
    </fill>
  </fills>
  <borders count="32">
    <border>
      <left/>
      <right/>
      <top/>
      <bottom/>
      <diagonal/>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color indexed="63"/>
      </left>
      <right>
        <color indexed="63"/>
      </right>
      <top>
        <color indexed="63"/>
      </top>
      <bottom style="thin">
        <color indexed="14"/>
      </bottom>
    </border>
    <border>
      <left>
        <color indexed="63"/>
      </left>
      <right>
        <color indexed="63"/>
      </right>
      <top style="thin">
        <color indexed="14"/>
      </top>
      <bottom>
        <color indexed="63"/>
      </bottom>
    </border>
    <border>
      <left>
        <color indexed="63"/>
      </left>
      <right>
        <color indexed="63"/>
      </right>
      <top style="thin"/>
      <bottom>
        <color indexed="63"/>
      </bottom>
    </border>
    <border>
      <left style="thin">
        <color indexed="14"/>
      </left>
      <right>
        <color indexed="63"/>
      </right>
      <top style="thick">
        <color indexed="14"/>
      </top>
      <bottom>
        <color indexed="63"/>
      </bottom>
    </border>
    <border>
      <left>
        <color indexed="63"/>
      </left>
      <right style="thin">
        <color indexed="14"/>
      </right>
      <top style="thick">
        <color indexed="14"/>
      </top>
      <bottom>
        <color indexed="63"/>
      </bottom>
    </border>
    <border>
      <left style="thin">
        <color indexed="14"/>
      </left>
      <right>
        <color indexed="63"/>
      </right>
      <top>
        <color indexed="63"/>
      </top>
      <bottom style="thick">
        <color indexed="14"/>
      </bottom>
    </border>
    <border>
      <left>
        <color indexed="63"/>
      </left>
      <right style="thin">
        <color indexed="14"/>
      </right>
      <top>
        <color indexed="63"/>
      </top>
      <bottom style="thick">
        <color indexed="14"/>
      </bottom>
    </border>
    <border>
      <left style="thin">
        <color indexed="14"/>
      </left>
      <right style="thin">
        <color indexed="14"/>
      </right>
      <top style="thick">
        <color indexed="14"/>
      </top>
      <bottom>
        <color indexed="63"/>
      </bottom>
    </border>
    <border>
      <left style="thin">
        <color indexed="14"/>
      </left>
      <right style="thin">
        <color indexed="14"/>
      </right>
      <top>
        <color indexed="63"/>
      </top>
      <bottom>
        <color indexed="63"/>
      </bottom>
    </border>
    <border>
      <left style="thin">
        <color indexed="14"/>
      </left>
      <right style="thin">
        <color indexed="14"/>
      </right>
      <top>
        <color indexed="63"/>
      </top>
      <bottom style="thick">
        <color indexed="14"/>
      </bottom>
    </border>
    <border>
      <left>
        <color indexed="63"/>
      </left>
      <right style="thin">
        <color indexed="14"/>
      </right>
      <top style="thin">
        <color indexed="14"/>
      </top>
      <bottom>
        <color indexed="63"/>
      </bottom>
    </border>
    <border>
      <left style="thin">
        <color indexed="14"/>
      </left>
      <right style="thin">
        <color indexed="14"/>
      </right>
      <top style="thin">
        <color indexed="14"/>
      </top>
      <bottom>
        <color indexed="63"/>
      </bottom>
    </border>
    <border>
      <left>
        <color indexed="63"/>
      </left>
      <right>
        <color indexed="63"/>
      </right>
      <top style="thin">
        <color indexed="14"/>
      </top>
      <bottom style="thin">
        <color indexed="14"/>
      </bottom>
    </border>
    <border>
      <left>
        <color indexed="63"/>
      </left>
      <right>
        <color indexed="63"/>
      </right>
      <top style="thin">
        <color indexed="14"/>
      </top>
      <bottom style="thin"/>
    </border>
    <border>
      <left style="thin">
        <color indexed="14"/>
      </left>
      <right style="thin">
        <color indexed="14"/>
      </right>
      <top style="thin">
        <color indexed="14"/>
      </top>
      <bottom style="thin">
        <color indexed="14"/>
      </bottom>
    </border>
    <border>
      <left style="thin">
        <color indexed="14"/>
      </left>
      <right style="thin">
        <color indexed="14"/>
      </right>
      <top style="thin">
        <color indexed="14"/>
      </top>
      <bottom style="thin"/>
    </border>
    <border>
      <left style="thin">
        <color indexed="14"/>
      </left>
      <right style="thin">
        <color indexed="14"/>
      </right>
      <top>
        <color indexed="63"/>
      </top>
      <bottom style="thin">
        <color indexed="14"/>
      </bottom>
    </border>
    <border>
      <left style="thin">
        <color indexed="14"/>
      </left>
      <right>
        <color indexed="63"/>
      </right>
      <top style="thin">
        <color indexed="14"/>
      </top>
      <bottom>
        <color indexed="63"/>
      </bottom>
    </border>
    <border>
      <left>
        <color indexed="63"/>
      </left>
      <right style="thin">
        <color indexed="14"/>
      </right>
      <top style="thin"/>
      <bottom style="thick">
        <color indexed="14"/>
      </bottom>
    </border>
    <border>
      <left style="thin">
        <color indexed="14"/>
      </left>
      <right style="thin">
        <color indexed="14"/>
      </right>
      <top style="thin"/>
      <bottom style="thick">
        <color indexed="14"/>
      </bottom>
    </border>
    <border>
      <left style="thin">
        <color indexed="14"/>
      </left>
      <right>
        <color indexed="63"/>
      </right>
      <top style="thin"/>
      <bottom>
        <color indexed="63"/>
      </bottom>
    </border>
    <border>
      <left>
        <color indexed="63"/>
      </left>
      <right style="thin">
        <color indexed="14"/>
      </right>
      <top style="thin"/>
      <bottom>
        <color indexed="63"/>
      </bottom>
    </border>
    <border>
      <left style="thin">
        <color indexed="14"/>
      </left>
      <right>
        <color indexed="63"/>
      </right>
      <top>
        <color indexed="63"/>
      </top>
      <bottom style="thin">
        <color indexed="14"/>
      </bottom>
    </border>
    <border>
      <left>
        <color indexed="63"/>
      </left>
      <right style="thin">
        <color indexed="14"/>
      </right>
      <top>
        <color indexed="63"/>
      </top>
      <bottom style="thin">
        <color indexed="14"/>
      </bottom>
    </border>
    <border>
      <left>
        <color indexed="63"/>
      </left>
      <right>
        <color indexed="63"/>
      </right>
      <top style="thick">
        <color indexed="14"/>
      </top>
      <bottom>
        <color indexed="63"/>
      </bottom>
    </border>
    <border>
      <left>
        <color indexed="63"/>
      </left>
      <right>
        <color indexed="63"/>
      </right>
      <top>
        <color indexed="63"/>
      </top>
      <bottom style="thick">
        <color indexed="14"/>
      </bottom>
    </border>
    <border>
      <left style="thick">
        <color indexed="24"/>
      </left>
      <right style="thin"/>
      <top>
        <color indexed="63"/>
      </top>
      <bottom style="thick">
        <color indexed="24"/>
      </bottom>
    </border>
    <border>
      <left style="thin"/>
      <right>
        <color indexed="63"/>
      </right>
      <top>
        <color indexed="63"/>
      </top>
      <bottom style="thick">
        <color indexed="24"/>
      </bottom>
    </border>
    <border>
      <left>
        <color indexed="63"/>
      </left>
      <right>
        <color indexed="63"/>
      </right>
      <top>
        <color indexed="63"/>
      </top>
      <bottom style="thick">
        <color indexed="2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241">
    <xf numFmtId="0" fontId="0" fillId="0" borderId="0" xfId="0" applyAlignment="1">
      <alignment/>
    </xf>
    <xf numFmtId="0" fontId="4" fillId="0" borderId="0" xfId="21">
      <alignment/>
      <protection/>
    </xf>
    <xf numFmtId="2" fontId="4" fillId="0" borderId="0" xfId="21" applyNumberFormat="1">
      <alignment/>
      <protection/>
    </xf>
    <xf numFmtId="1" fontId="4" fillId="0" borderId="0" xfId="21" applyNumberFormat="1">
      <alignment/>
      <protection/>
    </xf>
    <xf numFmtId="0" fontId="4" fillId="0" borderId="0" xfId="22">
      <alignment/>
      <protection/>
    </xf>
    <xf numFmtId="181" fontId="4" fillId="0" borderId="0" xfId="22" applyNumberFormat="1">
      <alignment/>
      <protection/>
    </xf>
    <xf numFmtId="0" fontId="4" fillId="0" borderId="0" xfId="21" applyFont="1">
      <alignment/>
      <protection/>
    </xf>
    <xf numFmtId="0" fontId="4" fillId="0" borderId="0" xfId="21" applyFont="1" applyAlignment="1">
      <alignment wrapText="1"/>
      <protection/>
    </xf>
    <xf numFmtId="0" fontId="8" fillId="2" borderId="0" xfId="21" applyFont="1" applyFill="1">
      <alignment/>
      <protection/>
    </xf>
    <xf numFmtId="0" fontId="9" fillId="2" borderId="0" xfId="21" applyFont="1" applyFill="1">
      <alignment/>
      <protection/>
    </xf>
    <xf numFmtId="0" fontId="4" fillId="2" borderId="0" xfId="21" applyFill="1">
      <alignment/>
      <protection/>
    </xf>
    <xf numFmtId="2" fontId="8" fillId="2" borderId="0" xfId="21" applyNumberFormat="1" applyFont="1" applyFill="1">
      <alignment/>
      <protection/>
    </xf>
    <xf numFmtId="181" fontId="9" fillId="2" borderId="0" xfId="21" applyNumberFormat="1" applyFont="1" applyFill="1">
      <alignment/>
      <protection/>
    </xf>
    <xf numFmtId="0" fontId="4" fillId="0" borderId="0" xfId="0" applyFont="1" applyAlignment="1">
      <alignment/>
    </xf>
    <xf numFmtId="0" fontId="4" fillId="0" borderId="0" xfId="21" applyFont="1">
      <alignment/>
      <protection/>
    </xf>
    <xf numFmtId="182" fontId="9" fillId="2" borderId="0" xfId="21" applyNumberFormat="1" applyFont="1" applyFill="1">
      <alignment/>
      <protection/>
    </xf>
    <xf numFmtId="2" fontId="9" fillId="2" borderId="0" xfId="21" applyNumberFormat="1" applyFont="1" applyFill="1">
      <alignment/>
      <protection/>
    </xf>
    <xf numFmtId="0" fontId="4" fillId="0" borderId="0" xfId="21" applyFont="1" applyAlignment="1">
      <alignment horizontal="right" wrapText="1"/>
      <protection/>
    </xf>
    <xf numFmtId="1" fontId="9" fillId="2" borderId="0" xfId="21" applyNumberFormat="1" applyFont="1" applyFill="1">
      <alignment/>
      <protection/>
    </xf>
    <xf numFmtId="180" fontId="9" fillId="2" borderId="0" xfId="21" applyNumberFormat="1" applyFont="1" applyFill="1">
      <alignment/>
      <protection/>
    </xf>
    <xf numFmtId="2" fontId="4" fillId="0" borderId="0" xfId="21" applyNumberFormat="1" applyFont="1">
      <alignment/>
      <protection/>
    </xf>
    <xf numFmtId="0" fontId="4" fillId="0" borderId="0" xfId="22" applyFont="1">
      <alignment/>
      <protection/>
    </xf>
    <xf numFmtId="2" fontId="9" fillId="2" borderId="0" xfId="22" applyNumberFormat="1" applyFont="1" applyFill="1">
      <alignment/>
      <protection/>
    </xf>
    <xf numFmtId="181" fontId="9" fillId="2" borderId="0" xfId="22" applyNumberFormat="1" applyFont="1" applyFill="1">
      <alignment/>
      <protection/>
    </xf>
    <xf numFmtId="0" fontId="11" fillId="0" borderId="0" xfId="0" applyFont="1" applyAlignment="1">
      <alignment/>
    </xf>
    <xf numFmtId="0" fontId="5"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horizontal="left"/>
    </xf>
    <xf numFmtId="0" fontId="5" fillId="0" borderId="0" xfId="0" applyFont="1" applyAlignment="1">
      <alignment horizontal="left"/>
    </xf>
    <xf numFmtId="0" fontId="4" fillId="0" borderId="1" xfId="21" applyFont="1" applyBorder="1">
      <alignment/>
      <protection/>
    </xf>
    <xf numFmtId="0" fontId="4" fillId="0" borderId="1" xfId="0" applyFont="1" applyBorder="1" applyAlignment="1">
      <alignment/>
    </xf>
    <xf numFmtId="1" fontId="9" fillId="2" borderId="1" xfId="21" applyNumberFormat="1" applyFont="1" applyFill="1" applyBorder="1">
      <alignment/>
      <protection/>
    </xf>
    <xf numFmtId="0" fontId="4" fillId="0" borderId="2" xfId="21" applyFont="1" applyBorder="1">
      <alignment/>
      <protection/>
    </xf>
    <xf numFmtId="0" fontId="4" fillId="0" borderId="2" xfId="0" applyFont="1" applyBorder="1" applyAlignment="1">
      <alignment/>
    </xf>
    <xf numFmtId="181" fontId="9" fillId="2" borderId="2" xfId="21" applyNumberFormat="1" applyFont="1" applyFill="1" applyBorder="1">
      <alignment/>
      <protection/>
    </xf>
    <xf numFmtId="0" fontId="19" fillId="0" borderId="0" xfId="21" applyFont="1">
      <alignment/>
      <protection/>
    </xf>
    <xf numFmtId="0" fontId="4" fillId="0" borderId="3" xfId="21" applyBorder="1">
      <alignment/>
      <protection/>
    </xf>
    <xf numFmtId="0" fontId="4" fillId="0" borderId="3" xfId="21" applyFont="1" applyBorder="1">
      <alignment/>
      <protection/>
    </xf>
    <xf numFmtId="0" fontId="0" fillId="0" borderId="4" xfId="0" applyBorder="1" applyAlignment="1">
      <alignment/>
    </xf>
    <xf numFmtId="0" fontId="4" fillId="0" borderId="4" xfId="21" applyBorder="1">
      <alignment/>
      <protection/>
    </xf>
    <xf numFmtId="0" fontId="4" fillId="0" borderId="4" xfId="21" applyFont="1" applyBorder="1">
      <alignment/>
      <protection/>
    </xf>
    <xf numFmtId="0" fontId="0" fillId="0" borderId="0" xfId="0" applyBorder="1" applyAlignment="1">
      <alignment/>
    </xf>
    <xf numFmtId="2" fontId="9" fillId="2" borderId="0" xfId="21" applyNumberFormat="1" applyFont="1" applyFill="1" applyBorder="1">
      <alignment/>
      <protection/>
    </xf>
    <xf numFmtId="0" fontId="4" fillId="0" borderId="0" xfId="21" applyBorder="1">
      <alignment/>
      <protection/>
    </xf>
    <xf numFmtId="0" fontId="20" fillId="2" borderId="0" xfId="21" applyFont="1" applyFill="1">
      <alignment/>
      <protection/>
    </xf>
    <xf numFmtId="1" fontId="21" fillId="2" borderId="0" xfId="21" applyNumberFormat="1" applyFont="1" applyFill="1">
      <alignment/>
      <protection/>
    </xf>
    <xf numFmtId="181" fontId="21" fillId="2" borderId="0" xfId="21" applyNumberFormat="1" applyFont="1" applyFill="1">
      <alignment/>
      <protection/>
    </xf>
    <xf numFmtId="2" fontId="21" fillId="2" borderId="0" xfId="21" applyNumberFormat="1" applyFont="1" applyFill="1" applyBorder="1">
      <alignment/>
      <protection/>
    </xf>
    <xf numFmtId="0" fontId="0" fillId="0" borderId="0" xfId="0" applyAlignment="1">
      <alignment horizontal="right"/>
    </xf>
    <xf numFmtId="2" fontId="4" fillId="0" borderId="0" xfId="21" applyNumberFormat="1" applyFont="1" applyBorder="1" applyAlignment="1">
      <alignment horizontal="right"/>
      <protection/>
    </xf>
    <xf numFmtId="0" fontId="4" fillId="0" borderId="0" xfId="21" applyFont="1" applyAlignment="1">
      <alignment horizontal="right"/>
      <protection/>
    </xf>
    <xf numFmtId="0" fontId="1" fillId="0" borderId="0" xfId="0" applyFont="1" applyAlignment="1">
      <alignment/>
    </xf>
    <xf numFmtId="2" fontId="9" fillId="2" borderId="5" xfId="21" applyNumberFormat="1" applyFont="1" applyFill="1" applyBorder="1">
      <alignment/>
      <protection/>
    </xf>
    <xf numFmtId="0" fontId="4" fillId="0" borderId="0" xfId="21" applyFont="1" applyAlignment="1">
      <alignment horizontal="center"/>
      <protection/>
    </xf>
    <xf numFmtId="0" fontId="4" fillId="0" borderId="0" xfId="21" applyFont="1" applyAlignment="1">
      <alignment horizontal="center" wrapText="1"/>
      <protection/>
    </xf>
    <xf numFmtId="0" fontId="0" fillId="0" borderId="0" xfId="0" applyAlignment="1">
      <alignment horizontal="center"/>
    </xf>
    <xf numFmtId="0" fontId="4" fillId="0" borderId="5" xfId="21" applyBorder="1">
      <alignment/>
      <protection/>
    </xf>
    <xf numFmtId="2" fontId="8" fillId="2" borderId="5" xfId="21" applyNumberFormat="1" applyFont="1" applyFill="1" applyBorder="1">
      <alignment/>
      <protection/>
    </xf>
    <xf numFmtId="181" fontId="9" fillId="2" borderId="5" xfId="21" applyNumberFormat="1" applyFont="1" applyFill="1" applyBorder="1">
      <alignment/>
      <protection/>
    </xf>
    <xf numFmtId="182" fontId="9" fillId="2" borderId="5" xfId="21" applyNumberFormat="1" applyFont="1" applyFill="1" applyBorder="1">
      <alignment/>
      <protection/>
    </xf>
    <xf numFmtId="0" fontId="4" fillId="0" borderId="5" xfId="22" applyBorder="1">
      <alignment/>
      <protection/>
    </xf>
    <xf numFmtId="2" fontId="9" fillId="2" borderId="5" xfId="22" applyNumberFormat="1" applyFont="1" applyFill="1" applyBorder="1">
      <alignment/>
      <protection/>
    </xf>
    <xf numFmtId="0" fontId="9" fillId="2" borderId="5" xfId="22" applyFont="1" applyFill="1" applyBorder="1">
      <alignment/>
      <protection/>
    </xf>
    <xf numFmtId="1" fontId="9" fillId="2" borderId="5" xfId="22" applyNumberFormat="1" applyFont="1" applyFill="1" applyBorder="1">
      <alignment/>
      <protection/>
    </xf>
    <xf numFmtId="0" fontId="4" fillId="0" borderId="0" xfId="21" applyFont="1" applyBorder="1">
      <alignment/>
      <protection/>
    </xf>
    <xf numFmtId="0" fontId="4" fillId="0" borderId="4" xfId="21" applyBorder="1" applyAlignment="1">
      <alignment horizontal="centerContinuous"/>
      <protection/>
    </xf>
    <xf numFmtId="0" fontId="4" fillId="0" borderId="4" xfId="21" applyFont="1" applyBorder="1" applyAlignment="1">
      <alignment horizontal="centerContinuous"/>
      <protection/>
    </xf>
    <xf numFmtId="0" fontId="4" fillId="0" borderId="4" xfId="21" applyBorder="1" applyAlignment="1">
      <alignment/>
      <protection/>
    </xf>
    <xf numFmtId="0" fontId="23" fillId="0" borderId="0" xfId="21" applyFont="1">
      <alignment/>
      <protection/>
    </xf>
    <xf numFmtId="0" fontId="23" fillId="0" borderId="0" xfId="0" applyFont="1" applyAlignment="1">
      <alignment/>
    </xf>
    <xf numFmtId="0" fontId="0" fillId="0" borderId="0" xfId="0" applyFont="1" applyAlignment="1">
      <alignment/>
    </xf>
    <xf numFmtId="0" fontId="4" fillId="0" borderId="0" xfId="21" applyFont="1" applyAlignment="1">
      <alignment horizontal="right"/>
      <protection/>
    </xf>
    <xf numFmtId="2" fontId="21" fillId="2" borderId="2" xfId="21" applyNumberFormat="1" applyFont="1" applyFill="1" applyBorder="1">
      <alignment/>
      <protection/>
    </xf>
    <xf numFmtId="0" fontId="20" fillId="2" borderId="1" xfId="0" applyFont="1" applyFill="1" applyBorder="1" applyAlignment="1">
      <alignment/>
    </xf>
    <xf numFmtId="0" fontId="4" fillId="0" borderId="0" xfId="21" applyFont="1" applyBorder="1" applyAlignment="1">
      <alignment horizontal="right"/>
      <protection/>
    </xf>
    <xf numFmtId="0" fontId="4" fillId="0" borderId="0" xfId="0" applyFont="1" applyBorder="1" applyAlignment="1">
      <alignment horizontal="right"/>
    </xf>
    <xf numFmtId="2" fontId="21" fillId="2" borderId="0" xfId="21" applyNumberFormat="1" applyFont="1" applyFill="1" applyBorder="1">
      <alignment/>
      <protection/>
    </xf>
    <xf numFmtId="0" fontId="9" fillId="0" borderId="5" xfId="21" applyFont="1" applyBorder="1">
      <alignment/>
      <protection/>
    </xf>
    <xf numFmtId="0" fontId="9" fillId="0" borderId="0" xfId="21" applyFont="1">
      <alignment/>
      <protection/>
    </xf>
    <xf numFmtId="0" fontId="4" fillId="0" borderId="0" xfId="21" applyFont="1" applyBorder="1">
      <alignment/>
      <protection/>
    </xf>
    <xf numFmtId="0" fontId="4" fillId="0" borderId="0" xfId="0" applyFont="1" applyBorder="1" applyAlignment="1">
      <alignment/>
    </xf>
    <xf numFmtId="0" fontId="0" fillId="0" borderId="0" xfId="0" applyBorder="1" applyAlignment="1">
      <alignment horizontal="right"/>
    </xf>
    <xf numFmtId="0" fontId="4" fillId="0" borderId="1" xfId="21" applyFont="1" applyBorder="1" applyAlignment="1">
      <alignment horizontal="left"/>
      <protection/>
    </xf>
    <xf numFmtId="0" fontId="4" fillId="0" borderId="0" xfId="21" applyFont="1" applyBorder="1" applyAlignment="1">
      <alignment wrapText="1"/>
      <protection/>
    </xf>
    <xf numFmtId="0" fontId="25" fillId="0" borderId="0" xfId="0" applyFont="1" applyBorder="1" applyAlignment="1">
      <alignment/>
    </xf>
    <xf numFmtId="0" fontId="4" fillId="0" borderId="0" xfId="21" applyFont="1" applyAlignment="1">
      <alignment horizontal="left"/>
      <protection/>
    </xf>
    <xf numFmtId="1" fontId="9" fillId="2" borderId="6" xfId="21" applyNumberFormat="1" applyFont="1" applyFill="1" applyBorder="1">
      <alignment/>
      <protection/>
    </xf>
    <xf numFmtId="181" fontId="9" fillId="2" borderId="7" xfId="21" applyNumberFormat="1" applyFont="1" applyFill="1" applyBorder="1">
      <alignment/>
      <protection/>
    </xf>
    <xf numFmtId="1" fontId="9" fillId="2" borderId="8" xfId="21" applyNumberFormat="1" applyFont="1" applyFill="1" applyBorder="1">
      <alignment/>
      <protection/>
    </xf>
    <xf numFmtId="181" fontId="9" fillId="2" borderId="9" xfId="21" applyNumberFormat="1" applyFont="1" applyFill="1" applyBorder="1">
      <alignment/>
      <protection/>
    </xf>
    <xf numFmtId="181" fontId="9" fillId="2" borderId="10" xfId="21" applyNumberFormat="1" applyFont="1" applyFill="1" applyBorder="1">
      <alignment/>
      <protection/>
    </xf>
    <xf numFmtId="181" fontId="9" fillId="2" borderId="11" xfId="21" applyNumberFormat="1" applyFont="1" applyFill="1" applyBorder="1">
      <alignment/>
      <protection/>
    </xf>
    <xf numFmtId="181" fontId="9" fillId="2" borderId="12" xfId="21" applyNumberFormat="1" applyFont="1" applyFill="1" applyBorder="1">
      <alignment/>
      <protection/>
    </xf>
    <xf numFmtId="0" fontId="4" fillId="0" borderId="11" xfId="21" applyFont="1" applyBorder="1">
      <alignment/>
      <protection/>
    </xf>
    <xf numFmtId="0" fontId="37" fillId="0" borderId="13" xfId="0" applyFont="1" applyBorder="1" applyAlignment="1">
      <alignment horizontal="centerContinuous"/>
    </xf>
    <xf numFmtId="1" fontId="21" fillId="2" borderId="1" xfId="21" applyNumberFormat="1" applyFont="1" applyFill="1" applyBorder="1">
      <alignment/>
      <protection/>
    </xf>
    <xf numFmtId="0" fontId="26" fillId="0" borderId="2" xfId="0" applyFont="1" applyBorder="1" applyAlignment="1">
      <alignment horizontal="centerContinuous"/>
    </xf>
    <xf numFmtId="0" fontId="37" fillId="0" borderId="14" xfId="0" applyFont="1" applyBorder="1" applyAlignment="1">
      <alignment horizontal="left"/>
    </xf>
    <xf numFmtId="0" fontId="4" fillId="0" borderId="11" xfId="0" applyFont="1" applyBorder="1" applyAlignment="1">
      <alignment/>
    </xf>
    <xf numFmtId="2" fontId="21" fillId="2" borderId="11" xfId="21" applyNumberFormat="1" applyFont="1" applyFill="1" applyBorder="1">
      <alignment/>
      <protection/>
    </xf>
    <xf numFmtId="1" fontId="20" fillId="2" borderId="11" xfId="21" applyNumberFormat="1" applyFont="1" applyFill="1" applyBorder="1">
      <alignment/>
      <protection/>
    </xf>
    <xf numFmtId="0" fontId="4" fillId="0" borderId="14" xfId="21" applyFont="1" applyBorder="1">
      <alignment/>
      <protection/>
    </xf>
    <xf numFmtId="0" fontId="37" fillId="0" borderId="11" xfId="0" applyFont="1" applyBorder="1" applyAlignment="1">
      <alignment/>
    </xf>
    <xf numFmtId="0" fontId="9" fillId="2" borderId="1" xfId="21" applyFont="1" applyFill="1" applyBorder="1">
      <alignment/>
      <protection/>
    </xf>
    <xf numFmtId="0" fontId="9" fillId="2" borderId="2" xfId="21" applyFont="1" applyFill="1" applyBorder="1">
      <alignment/>
      <protection/>
    </xf>
    <xf numFmtId="0" fontId="20" fillId="0" borderId="1" xfId="0" applyFont="1" applyFill="1" applyBorder="1" applyAlignment="1">
      <alignment/>
    </xf>
    <xf numFmtId="0" fontId="4" fillId="0" borderId="2" xfId="0" applyFont="1" applyFill="1" applyBorder="1" applyAlignment="1">
      <alignment/>
    </xf>
    <xf numFmtId="2" fontId="9" fillId="0" borderId="0" xfId="21" applyNumberFormat="1" applyFont="1">
      <alignment/>
      <protection/>
    </xf>
    <xf numFmtId="0" fontId="9" fillId="0" borderId="0" xfId="21" applyFont="1" applyFill="1" applyBorder="1">
      <alignment/>
      <protection/>
    </xf>
    <xf numFmtId="2" fontId="9" fillId="0" borderId="0" xfId="21" applyNumberFormat="1" applyFont="1" applyFill="1" applyBorder="1">
      <alignment/>
      <protection/>
    </xf>
    <xf numFmtId="0" fontId="8" fillId="0" borderId="0" xfId="21" applyFont="1" applyBorder="1">
      <alignment/>
      <protection/>
    </xf>
    <xf numFmtId="0" fontId="8" fillId="0" borderId="0" xfId="21" applyFont="1">
      <alignment/>
      <protection/>
    </xf>
    <xf numFmtId="0" fontId="34" fillId="0" borderId="0" xfId="0" applyFont="1" applyBorder="1" applyAlignment="1">
      <alignment/>
    </xf>
    <xf numFmtId="0" fontId="4" fillId="0" borderId="0" xfId="21" applyFont="1" applyBorder="1" applyAlignment="1">
      <alignment horizontal="left"/>
      <protection/>
    </xf>
    <xf numFmtId="0" fontId="21" fillId="2" borderId="0" xfId="0" applyFont="1" applyFill="1" applyBorder="1" applyAlignment="1">
      <alignment/>
    </xf>
    <xf numFmtId="0" fontId="9" fillId="0" borderId="0" xfId="21" applyFont="1" applyBorder="1">
      <alignment/>
      <protection/>
    </xf>
    <xf numFmtId="0" fontId="9" fillId="2" borderId="0" xfId="22" applyFont="1" applyFill="1">
      <alignment/>
      <protection/>
    </xf>
    <xf numFmtId="1" fontId="9" fillId="2" borderId="0" xfId="22" applyNumberFormat="1" applyFont="1" applyFill="1">
      <alignment/>
      <protection/>
    </xf>
    <xf numFmtId="0" fontId="23" fillId="0" borderId="0" xfId="21" applyFont="1" applyBorder="1" applyAlignment="1">
      <alignment horizontal="center"/>
      <protection/>
    </xf>
    <xf numFmtId="0" fontId="27" fillId="0" borderId="11" xfId="0" applyFont="1" applyBorder="1" applyAlignment="1">
      <alignment horizontal="left"/>
    </xf>
    <xf numFmtId="1" fontId="8" fillId="2" borderId="6" xfId="21" applyNumberFormat="1" applyFont="1" applyFill="1" applyBorder="1">
      <alignment/>
      <protection/>
    </xf>
    <xf numFmtId="1" fontId="8" fillId="2" borderId="1" xfId="21" applyNumberFormat="1" applyFont="1" applyFill="1" applyBorder="1">
      <alignment/>
      <protection/>
    </xf>
    <xf numFmtId="0" fontId="9" fillId="2" borderId="7" xfId="0" applyFont="1" applyFill="1" applyBorder="1" applyAlignment="1">
      <alignment/>
    </xf>
    <xf numFmtId="0" fontId="9" fillId="2" borderId="2" xfId="0" applyFont="1" applyFill="1" applyBorder="1" applyAlignment="1">
      <alignment/>
    </xf>
    <xf numFmtId="0" fontId="9" fillId="2" borderId="9" xfId="0" applyFont="1" applyFill="1" applyBorder="1" applyAlignment="1">
      <alignment/>
    </xf>
    <xf numFmtId="181" fontId="9" fillId="0" borderId="0" xfId="21" applyNumberFormat="1" applyFont="1" applyFill="1">
      <alignment/>
      <protection/>
    </xf>
    <xf numFmtId="2" fontId="0" fillId="0" borderId="0" xfId="0" applyNumberFormat="1" applyAlignment="1">
      <alignment/>
    </xf>
    <xf numFmtId="181" fontId="17" fillId="3" borderId="0" xfId="0" applyNumberFormat="1" applyFont="1" applyFill="1" applyAlignment="1">
      <alignment/>
    </xf>
    <xf numFmtId="0" fontId="4" fillId="0" borderId="0" xfId="0" applyFont="1" applyAlignment="1">
      <alignment horizontal="center"/>
    </xf>
    <xf numFmtId="0" fontId="0" fillId="0" borderId="15" xfId="0" applyBorder="1" applyAlignment="1">
      <alignment/>
    </xf>
    <xf numFmtId="0" fontId="45" fillId="0" borderId="0" xfId="0" applyFont="1" applyAlignment="1">
      <alignment/>
    </xf>
    <xf numFmtId="182" fontId="4" fillId="0" borderId="15" xfId="21" applyNumberFormat="1" applyFont="1" applyBorder="1" applyAlignment="1">
      <alignment horizontal="centerContinuous"/>
      <protection/>
    </xf>
    <xf numFmtId="181" fontId="34" fillId="3" borderId="0" xfId="0" applyNumberFormat="1" applyFont="1" applyFill="1" applyAlignment="1">
      <alignment/>
    </xf>
    <xf numFmtId="0" fontId="4" fillId="0" borderId="16" xfId="21" applyBorder="1">
      <alignment/>
      <protection/>
    </xf>
    <xf numFmtId="182" fontId="4" fillId="0" borderId="16" xfId="21" applyNumberFormat="1" applyFont="1" applyBorder="1" applyAlignment="1">
      <alignment horizontal="center" wrapText="1"/>
      <protection/>
    </xf>
    <xf numFmtId="0" fontId="4" fillId="0" borderId="17" xfId="21" applyFont="1" applyBorder="1" applyAlignment="1">
      <alignment horizontal="center"/>
      <protection/>
    </xf>
    <xf numFmtId="0" fontId="4" fillId="0" borderId="18" xfId="21" applyFont="1" applyBorder="1" applyAlignment="1">
      <alignment horizontal="center"/>
      <protection/>
    </xf>
    <xf numFmtId="0" fontId="0" fillId="0" borderId="11" xfId="0" applyFont="1" applyBorder="1" applyAlignment="1">
      <alignment horizontal="center"/>
    </xf>
    <xf numFmtId="0" fontId="0" fillId="0" borderId="19" xfId="0" applyFont="1" applyBorder="1" applyAlignment="1">
      <alignment horizontal="center"/>
    </xf>
    <xf numFmtId="0" fontId="44" fillId="0" borderId="3" xfId="0" applyFont="1" applyBorder="1" applyAlignment="1">
      <alignment/>
    </xf>
    <xf numFmtId="0" fontId="0" fillId="0" borderId="3" xfId="0" applyBorder="1" applyAlignment="1">
      <alignment horizontal="center"/>
    </xf>
    <xf numFmtId="181" fontId="17" fillId="3" borderId="3" xfId="0" applyNumberFormat="1" applyFont="1" applyFill="1" applyBorder="1" applyAlignment="1">
      <alignment/>
    </xf>
    <xf numFmtId="0" fontId="34" fillId="3" borderId="3" xfId="0" applyFont="1" applyFill="1" applyBorder="1" applyAlignment="1">
      <alignment/>
    </xf>
    <xf numFmtId="1" fontId="8" fillId="2" borderId="8" xfId="21" applyNumberFormat="1" applyFont="1" applyFill="1" applyBorder="1">
      <alignment/>
      <protection/>
    </xf>
    <xf numFmtId="0" fontId="51" fillId="0" borderId="0" xfId="0" applyFont="1" applyAlignment="1">
      <alignment/>
    </xf>
    <xf numFmtId="181" fontId="9" fillId="2" borderId="1" xfId="21" applyNumberFormat="1" applyFont="1" applyFill="1" applyBorder="1">
      <alignment/>
      <protection/>
    </xf>
    <xf numFmtId="182" fontId="9" fillId="2" borderId="2" xfId="21" applyNumberFormat="1" applyFont="1" applyFill="1" applyBorder="1">
      <alignment/>
      <protection/>
    </xf>
    <xf numFmtId="182" fontId="9" fillId="2" borderId="1" xfId="21" applyNumberFormat="1" applyFont="1" applyFill="1" applyBorder="1">
      <alignment/>
      <protection/>
    </xf>
    <xf numFmtId="182" fontId="9" fillId="2" borderId="20" xfId="21" applyNumberFormat="1" applyFont="1" applyFill="1" applyBorder="1">
      <alignment/>
      <protection/>
    </xf>
    <xf numFmtId="0" fontId="4" fillId="0" borderId="4" xfId="21" applyFont="1" applyBorder="1" applyAlignment="1">
      <alignment/>
      <protection/>
    </xf>
    <xf numFmtId="0" fontId="37" fillId="0" borderId="20" xfId="21" applyFont="1" applyBorder="1" applyAlignment="1">
      <alignment horizontal="center" wrapText="1"/>
      <protection/>
    </xf>
    <xf numFmtId="0" fontId="4" fillId="0" borderId="21" xfId="21" applyFont="1" applyBorder="1" applyAlignment="1">
      <alignment horizontal="center" wrapText="1"/>
      <protection/>
    </xf>
    <xf numFmtId="0" fontId="4" fillId="0" borderId="22" xfId="21" applyFont="1" applyBorder="1" applyAlignment="1">
      <alignment horizontal="center" wrapText="1"/>
      <protection/>
    </xf>
    <xf numFmtId="0" fontId="26" fillId="0" borderId="22" xfId="21" applyFont="1" applyBorder="1" applyAlignment="1">
      <alignment horizontal="center" wrapText="1"/>
      <protection/>
    </xf>
    <xf numFmtId="0" fontId="23" fillId="0" borderId="22" xfId="21" applyFont="1" applyBorder="1" applyAlignment="1">
      <alignment horizontal="center" wrapText="1"/>
      <protection/>
    </xf>
    <xf numFmtId="0" fontId="27" fillId="0" borderId="22" xfId="21" applyFont="1" applyBorder="1" applyAlignment="1">
      <alignment horizontal="center" wrapText="1"/>
      <protection/>
    </xf>
    <xf numFmtId="0" fontId="42" fillId="0" borderId="22" xfId="21" applyFont="1" applyBorder="1" applyAlignment="1">
      <alignment horizontal="center" wrapText="1"/>
      <protection/>
    </xf>
    <xf numFmtId="0" fontId="39" fillId="0" borderId="22" xfId="21" applyFont="1" applyBorder="1" applyAlignment="1">
      <alignment horizontal="center" wrapText="1"/>
      <protection/>
    </xf>
    <xf numFmtId="2" fontId="8" fillId="2" borderId="23" xfId="21" applyNumberFormat="1" applyFont="1" applyFill="1" applyBorder="1">
      <alignment/>
      <protection/>
    </xf>
    <xf numFmtId="2" fontId="34" fillId="2" borderId="24" xfId="0" applyNumberFormat="1" applyFont="1" applyFill="1" applyBorder="1" applyAlignment="1">
      <alignment/>
    </xf>
    <xf numFmtId="2" fontId="8" fillId="2" borderId="1" xfId="21" applyNumberFormat="1" applyFont="1" applyFill="1" applyBorder="1">
      <alignment/>
      <protection/>
    </xf>
    <xf numFmtId="2" fontId="34" fillId="2" borderId="2" xfId="0" applyNumberFormat="1" applyFont="1" applyFill="1" applyBorder="1" applyAlignment="1">
      <alignment/>
    </xf>
    <xf numFmtId="2" fontId="8" fillId="2" borderId="25" xfId="21" applyNumberFormat="1" applyFont="1" applyFill="1" applyBorder="1">
      <alignment/>
      <protection/>
    </xf>
    <xf numFmtId="2" fontId="34" fillId="2" borderId="26" xfId="0" applyNumberFormat="1" applyFont="1" applyFill="1" applyBorder="1" applyAlignment="1">
      <alignment/>
    </xf>
    <xf numFmtId="0" fontId="34" fillId="0" borderId="0" xfId="0" applyFont="1" applyAlignment="1">
      <alignment/>
    </xf>
    <xf numFmtId="0" fontId="48" fillId="0" borderId="0" xfId="0" applyFont="1" applyAlignment="1">
      <alignment/>
    </xf>
    <xf numFmtId="0" fontId="52" fillId="0" borderId="0" xfId="0" applyFont="1" applyAlignment="1">
      <alignment/>
    </xf>
    <xf numFmtId="0" fontId="0" fillId="0" borderId="0" xfId="0" applyFont="1" applyAlignment="1">
      <alignment horizontal="center"/>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xf>
    <xf numFmtId="0" fontId="5" fillId="0" borderId="0" xfId="0" applyFont="1" applyAlignment="1">
      <alignment vertical="top"/>
    </xf>
    <xf numFmtId="0" fontId="6" fillId="0" borderId="0" xfId="0" applyFont="1" applyAlignment="1">
      <alignment horizontal="right"/>
    </xf>
    <xf numFmtId="0" fontId="49" fillId="2" borderId="0" xfId="0" applyFont="1" applyFill="1" applyAlignment="1">
      <alignment/>
    </xf>
    <xf numFmtId="0" fontId="53" fillId="2" borderId="0" xfId="0" applyFont="1" applyFill="1" applyAlignment="1">
      <alignment/>
    </xf>
    <xf numFmtId="15" fontId="51" fillId="2" borderId="0" xfId="0" applyNumberFormat="1" applyFont="1" applyFill="1" applyAlignment="1">
      <alignment/>
    </xf>
    <xf numFmtId="15" fontId="34" fillId="0" borderId="0" xfId="0" applyNumberFormat="1" applyFont="1" applyFill="1" applyAlignment="1">
      <alignment/>
    </xf>
    <xf numFmtId="0" fontId="5" fillId="4" borderId="0" xfId="0" applyFont="1" applyFill="1" applyAlignment="1">
      <alignment/>
    </xf>
    <xf numFmtId="0" fontId="48" fillId="5" borderId="0" xfId="0" applyFont="1" applyFill="1" applyAlignment="1">
      <alignment/>
    </xf>
    <xf numFmtId="0" fontId="54" fillId="6" borderId="0" xfId="0" applyFont="1" applyFill="1" applyAlignment="1">
      <alignment/>
    </xf>
    <xf numFmtId="0" fontId="60" fillId="0" borderId="20" xfId="0" applyFont="1" applyBorder="1" applyAlignment="1">
      <alignment horizontal="centerContinuous"/>
    </xf>
    <xf numFmtId="0" fontId="62" fillId="0" borderId="14" xfId="0" applyFont="1" applyBorder="1" applyAlignment="1">
      <alignment horizontal="left"/>
    </xf>
    <xf numFmtId="182" fontId="9" fillId="0" borderId="0" xfId="21" applyNumberFormat="1" applyFont="1" applyBorder="1">
      <alignment/>
      <protection/>
    </xf>
    <xf numFmtId="181" fontId="9" fillId="0" borderId="0" xfId="21" applyNumberFormat="1" applyFont="1" applyFill="1" applyBorder="1">
      <alignment/>
      <protection/>
    </xf>
    <xf numFmtId="0" fontId="4" fillId="7" borderId="0" xfId="21" applyFont="1" applyFill="1">
      <alignment/>
      <protection/>
    </xf>
    <xf numFmtId="0" fontId="72" fillId="0" borderId="0" xfId="22" applyFont="1">
      <alignment/>
      <protection/>
    </xf>
    <xf numFmtId="0" fontId="49" fillId="2" borderId="0" xfId="0" applyFont="1" applyFill="1" applyAlignment="1">
      <alignment/>
    </xf>
    <xf numFmtId="0" fontId="48" fillId="2" borderId="0" xfId="0" applyFont="1" applyFill="1" applyAlignment="1">
      <alignment/>
    </xf>
    <xf numFmtId="181" fontId="34" fillId="2" borderId="0" xfId="0" applyNumberFormat="1" applyFont="1" applyFill="1" applyAlignment="1">
      <alignment/>
    </xf>
    <xf numFmtId="0" fontId="73" fillId="2" borderId="0" xfId="0" applyFont="1" applyFill="1" applyAlignment="1">
      <alignment/>
    </xf>
    <xf numFmtId="0" fontId="1" fillId="0" borderId="0" xfId="0" applyFont="1" applyAlignment="1">
      <alignment/>
    </xf>
    <xf numFmtId="0" fontId="8" fillId="2" borderId="0" xfId="0" applyFont="1" applyFill="1" applyAlignment="1">
      <alignment/>
    </xf>
    <xf numFmtId="0" fontId="48" fillId="2" borderId="0" xfId="0" applyFont="1" applyFill="1" applyAlignment="1">
      <alignment/>
    </xf>
    <xf numFmtId="0" fontId="8" fillId="2" borderId="3" xfId="0" applyFont="1" applyFill="1" applyBorder="1" applyAlignment="1">
      <alignment/>
    </xf>
    <xf numFmtId="2" fontId="20" fillId="2" borderId="7" xfId="21" applyNumberFormat="1" applyFont="1" applyFill="1" applyBorder="1">
      <alignment/>
      <protection/>
    </xf>
    <xf numFmtId="2" fontId="20" fillId="2" borderId="2" xfId="21" applyNumberFormat="1" applyFont="1" applyFill="1" applyBorder="1">
      <alignment/>
      <protection/>
    </xf>
    <xf numFmtId="2" fontId="20" fillId="2" borderId="9" xfId="21" applyNumberFormat="1" applyFont="1" applyFill="1" applyBorder="1">
      <alignment/>
      <protection/>
    </xf>
    <xf numFmtId="0" fontId="8" fillId="2" borderId="27" xfId="21" applyFont="1" applyFill="1" applyBorder="1" applyAlignment="1">
      <alignment horizontal="center"/>
      <protection/>
    </xf>
    <xf numFmtId="0" fontId="8" fillId="2" borderId="0" xfId="21" applyFont="1" applyFill="1" applyBorder="1" applyAlignment="1">
      <alignment horizontal="center"/>
      <protection/>
    </xf>
    <xf numFmtId="0" fontId="8" fillId="2" borderId="28" xfId="21" applyFont="1" applyFill="1" applyBorder="1" applyAlignment="1">
      <alignment horizontal="center"/>
      <protection/>
    </xf>
    <xf numFmtId="0" fontId="0" fillId="0" borderId="0" xfId="0" applyFill="1" applyBorder="1" applyAlignment="1">
      <alignment horizontal="right"/>
    </xf>
    <xf numFmtId="2" fontId="20" fillId="2" borderId="0" xfId="21" applyNumberFormat="1" applyFont="1" applyFill="1">
      <alignment/>
      <protection/>
    </xf>
    <xf numFmtId="0" fontId="20" fillId="2" borderId="0" xfId="21" applyFont="1" applyFill="1">
      <alignment/>
      <protection/>
    </xf>
    <xf numFmtId="0" fontId="0" fillId="0" borderId="0" xfId="21" applyFont="1">
      <alignment/>
      <protection/>
    </xf>
    <xf numFmtId="0" fontId="0" fillId="0" borderId="0" xfId="21" applyFont="1" applyAlignment="1">
      <alignment horizontal="center"/>
      <protection/>
    </xf>
    <xf numFmtId="180" fontId="78" fillId="6" borderId="0" xfId="21" applyNumberFormat="1" applyFont="1" applyFill="1">
      <alignment/>
      <protection/>
    </xf>
    <xf numFmtId="0" fontId="9" fillId="2" borderId="0" xfId="21" applyFont="1" applyFill="1" applyBorder="1">
      <alignment/>
      <protection/>
    </xf>
    <xf numFmtId="0" fontId="21" fillId="2" borderId="0" xfId="21" applyFont="1" applyFill="1" applyBorder="1">
      <alignment/>
      <protection/>
    </xf>
    <xf numFmtId="0" fontId="23" fillId="0" borderId="0" xfId="21" applyFont="1" applyBorder="1" applyAlignment="1">
      <alignment horizontal="center"/>
      <protection/>
    </xf>
    <xf numFmtId="0" fontId="23" fillId="0" borderId="27" xfId="21" applyFont="1" applyBorder="1" applyAlignment="1">
      <alignment horizontal="center"/>
      <protection/>
    </xf>
    <xf numFmtId="0" fontId="61" fillId="0" borderId="20" xfId="0" applyFont="1" applyBorder="1" applyAlignment="1">
      <alignment horizontal="center"/>
    </xf>
    <xf numFmtId="0" fontId="61" fillId="0" borderId="13" xfId="0" applyFont="1" applyBorder="1" applyAlignment="1">
      <alignment horizontal="center"/>
    </xf>
    <xf numFmtId="0" fontId="39" fillId="0" borderId="1" xfId="0" applyFont="1" applyBorder="1" applyAlignment="1">
      <alignment horizontal="center"/>
    </xf>
    <xf numFmtId="0" fontId="39" fillId="0" borderId="2" xfId="0" applyFont="1" applyBorder="1" applyAlignment="1">
      <alignment horizontal="center"/>
    </xf>
    <xf numFmtId="0" fontId="4" fillId="0" borderId="4" xfId="21" applyFont="1" applyBorder="1" applyAlignment="1">
      <alignment horizontal="center"/>
      <protection/>
    </xf>
    <xf numFmtId="0" fontId="79" fillId="0" borderId="0" xfId="21" applyFont="1">
      <alignment/>
      <protection/>
    </xf>
    <xf numFmtId="0" fontId="80" fillId="0" borderId="29" xfId="0" applyFont="1" applyBorder="1" applyAlignment="1">
      <alignment/>
    </xf>
    <xf numFmtId="0" fontId="0" fillId="8" borderId="30" xfId="0" applyFill="1" applyBorder="1" applyAlignment="1">
      <alignment/>
    </xf>
    <xf numFmtId="0" fontId="5" fillId="8" borderId="31" xfId="0" applyFont="1" applyFill="1" applyBorder="1" applyAlignment="1">
      <alignment horizontal="right"/>
    </xf>
    <xf numFmtId="0" fontId="49" fillId="2" borderId="31" xfId="0" applyFont="1" applyFill="1" applyBorder="1" applyAlignment="1">
      <alignment/>
    </xf>
    <xf numFmtId="0" fontId="48" fillId="2" borderId="31" xfId="0" applyFont="1" applyFill="1" applyBorder="1" applyAlignment="1">
      <alignment/>
    </xf>
    <xf numFmtId="15" fontId="51" fillId="2" borderId="31" xfId="0" applyNumberFormat="1" applyFont="1" applyFill="1" applyBorder="1" applyAlignment="1">
      <alignment/>
    </xf>
    <xf numFmtId="15" fontId="73" fillId="2" borderId="31" xfId="0" applyNumberFormat="1" applyFont="1" applyFill="1" applyBorder="1" applyAlignment="1">
      <alignment/>
    </xf>
    <xf numFmtId="0" fontId="4" fillId="9" borderId="0" xfId="21" applyFill="1">
      <alignment/>
      <protection/>
    </xf>
    <xf numFmtId="2" fontId="21" fillId="2" borderId="0" xfId="21" applyNumberFormat="1" applyFont="1" applyFill="1">
      <alignment/>
      <protection/>
    </xf>
    <xf numFmtId="180" fontId="9" fillId="2" borderId="0" xfId="21" applyNumberFormat="1" applyFont="1" applyFill="1" applyBorder="1">
      <alignment/>
      <protection/>
    </xf>
    <xf numFmtId="180" fontId="0" fillId="0" borderId="0" xfId="0" applyNumberFormat="1" applyBorder="1" applyAlignment="1">
      <alignment/>
    </xf>
    <xf numFmtId="180" fontId="0" fillId="0" borderId="0" xfId="0" applyNumberFormat="1" applyAlignment="1">
      <alignment/>
    </xf>
    <xf numFmtId="180" fontId="21" fillId="2" borderId="0" xfId="21" applyNumberFormat="1" applyFont="1" applyFill="1" applyBorder="1">
      <alignment/>
      <protection/>
    </xf>
    <xf numFmtId="180" fontId="4" fillId="0" borderId="0" xfId="21" applyNumberFormat="1" applyBorder="1">
      <alignment/>
      <protection/>
    </xf>
    <xf numFmtId="180" fontId="21" fillId="2" borderId="0" xfId="21" applyNumberFormat="1" applyFont="1" applyFill="1" applyBorder="1">
      <alignment/>
      <protection/>
    </xf>
    <xf numFmtId="0" fontId="0" fillId="0" borderId="0" xfId="21" applyFont="1" applyAlignment="1">
      <alignment horizontal="center"/>
      <protection/>
    </xf>
    <xf numFmtId="2" fontId="20" fillId="2" borderId="0" xfId="21" applyNumberFormat="1" applyFont="1" applyFill="1">
      <alignment/>
      <protection/>
    </xf>
    <xf numFmtId="0" fontId="0" fillId="0" borderId="0" xfId="21" applyFont="1">
      <alignment/>
      <protection/>
    </xf>
    <xf numFmtId="0" fontId="4" fillId="0" borderId="3" xfId="21" applyFont="1" applyBorder="1" applyAlignment="1">
      <alignment horizontal="center"/>
      <protection/>
    </xf>
    <xf numFmtId="180" fontId="81" fillId="9" borderId="0" xfId="21" applyNumberFormat="1" applyFont="1" applyFill="1">
      <alignment/>
      <protection/>
    </xf>
    <xf numFmtId="180" fontId="82" fillId="2" borderId="0" xfId="21" applyNumberFormat="1" applyFont="1" applyFill="1">
      <alignment/>
      <protection/>
    </xf>
    <xf numFmtId="0" fontId="83" fillId="3" borderId="0" xfId="21" applyFont="1" applyFill="1">
      <alignment/>
      <protection/>
    </xf>
    <xf numFmtId="180" fontId="21" fillId="2" borderId="0" xfId="21" applyNumberFormat="1" applyFont="1" applyFill="1">
      <alignment/>
      <protection/>
    </xf>
    <xf numFmtId="1" fontId="83" fillId="3" borderId="0" xfId="21" applyNumberFormat="1" applyFont="1" applyFill="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MAGTHIN3" xfId="21"/>
    <cellStyle name="Normal_MAGTHIN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1325"/>
          <c:w val="0.96975"/>
          <c:h val="0.91025"/>
        </c:manualLayout>
      </c:layout>
      <c:scatterChart>
        <c:scatterStyle val="lineMarker"/>
        <c:varyColors val="0"/>
        <c:ser>
          <c:idx val="0"/>
          <c:order val="0"/>
          <c:tx>
            <c:v>linear deployment 1</c:v>
          </c:tx>
          <c:extLst>
            <c:ext xmlns:c14="http://schemas.microsoft.com/office/drawing/2007/8/2/chart" uri="{6F2FDCE9-48DA-4B69-8628-5D25D57E5C99}">
              <c14:invertSolidFillFmt>
                <c14:spPr>
                  <a:solidFill>
                    <a:srgbClr val="000000"/>
                  </a:solidFill>
                </c14:spPr>
              </c14:invertSolidFillFmt>
            </c:ext>
          </c:extLst>
          <c:xVal>
            <c:numRef>
              <c:f>Establishment!$B$16:$B$51</c:f>
              <c:numCache/>
            </c:numRef>
          </c:xVal>
          <c:yVal>
            <c:numRef>
              <c:f>Establishment!$D$16:$D$51</c:f>
              <c:numCache/>
            </c:numRef>
          </c:yVal>
          <c:smooth val="0"/>
        </c:ser>
        <c:ser>
          <c:idx val="1"/>
          <c:order val="1"/>
          <c:tx>
            <c:v>linear deployment 2</c:v>
          </c:tx>
          <c:extLst>
            <c:ext xmlns:c14="http://schemas.microsoft.com/office/drawing/2007/8/2/chart" uri="{6F2FDCE9-48DA-4B69-8628-5D25D57E5C99}">
              <c14:invertSolidFillFmt>
                <c14:spPr>
                  <a:solidFill>
                    <a:srgbClr val="000000"/>
                  </a:solidFill>
                </c14:spPr>
              </c14:invertSolidFillFmt>
            </c:ext>
          </c:extLst>
          <c:xVal>
            <c:numRef>
              <c:f>Establishment!$B$16:$B$51</c:f>
              <c:numCache/>
            </c:numRef>
          </c:xVal>
          <c:yVal>
            <c:numRef>
              <c:f>Establishment!$F$16:$F$51</c:f>
              <c:numCache/>
            </c:numRef>
          </c:yVal>
          <c:smooth val="0"/>
        </c:ser>
        <c:ser>
          <c:idx val="2"/>
          <c:order val="2"/>
          <c:tx>
            <c:v>truncation selection</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xVal>
            <c:numRef>
              <c:f>Establishment!$B$16:$B$51</c:f>
              <c:numCache/>
            </c:numRef>
          </c:xVal>
          <c:yVal>
            <c:numRef>
              <c:f>Establishment!$G$16:$G$51</c:f>
              <c:numCache/>
            </c:numRef>
          </c:yVal>
          <c:smooth val="0"/>
        </c:ser>
        <c:axId val="21282991"/>
        <c:axId val="57329192"/>
      </c:scatterChart>
      <c:valAx>
        <c:axId val="21282991"/>
        <c:scaling>
          <c:orientation val="minMax"/>
        </c:scaling>
        <c:axPos val="b"/>
        <c:title>
          <c:tx>
            <c:rich>
              <a:bodyPr vert="horz" rot="0" anchor="ctr"/>
              <a:lstStyle/>
              <a:p>
                <a:pPr algn="ctr">
                  <a:defRPr/>
                </a:pPr>
                <a:r>
                  <a:rPr lang="en-US" cap="none" sz="800" b="1" i="0" u="none" baseline="0">
                    <a:latin typeface="Arial"/>
                    <a:ea typeface="Arial"/>
                    <a:cs typeface="Arial"/>
                  </a:rPr>
                  <a:t>Breeding values, gi</a:t>
                </a:r>
              </a:p>
            </c:rich>
          </c:tx>
          <c:layout/>
          <c:overlay val="0"/>
          <c:spPr>
            <a:noFill/>
            <a:ln>
              <a:noFill/>
            </a:ln>
          </c:spPr>
        </c:title>
        <c:delete val="0"/>
        <c:numFmt formatCode="General" sourceLinked="1"/>
        <c:majorTickMark val="in"/>
        <c:minorTickMark val="none"/>
        <c:tickLblPos val="nextTo"/>
        <c:crossAx val="57329192"/>
        <c:crossesAt val="-2.5"/>
        <c:crossBetween val="midCat"/>
        <c:dispUnits/>
      </c:valAx>
      <c:valAx>
        <c:axId val="57329192"/>
        <c:scaling>
          <c:orientation val="minMax"/>
          <c:max val="0.15"/>
        </c:scaling>
        <c:axPos val="l"/>
        <c:title>
          <c:tx>
            <c:rich>
              <a:bodyPr vert="horz" rot="-5400000" anchor="ctr"/>
              <a:lstStyle/>
              <a:p>
                <a:pPr algn="ctr">
                  <a:defRPr/>
                </a:pPr>
                <a:r>
                  <a:rPr lang="en-US" cap="none" sz="800" b="1" i="0" u="none" baseline="0">
                    <a:latin typeface="Arial"/>
                    <a:ea typeface="Arial"/>
                    <a:cs typeface="Arial"/>
                  </a:rPr>
                  <a:t>Contribution from the clone, pi</a:t>
                </a:r>
              </a:p>
            </c:rich>
          </c:tx>
          <c:layout>
            <c:manualLayout>
              <c:xMode val="factor"/>
              <c:yMode val="factor"/>
              <c:x val="0.002"/>
              <c:y val="0.006"/>
            </c:manualLayout>
          </c:layout>
          <c:overlay val="0"/>
          <c:spPr>
            <a:noFill/>
            <a:ln>
              <a:noFill/>
            </a:ln>
          </c:spPr>
        </c:title>
        <c:delete val="0"/>
        <c:numFmt formatCode="0.00" sourceLinked="0"/>
        <c:majorTickMark val="in"/>
        <c:minorTickMark val="none"/>
        <c:tickLblPos val="nextTo"/>
        <c:crossAx val="21282991"/>
        <c:crosses val="autoZero"/>
        <c:crossBetween val="midCat"/>
        <c:dispUnits/>
        <c:majorUnit val="0.05"/>
      </c:valAx>
      <c:spPr>
        <a:solidFill>
          <a:srgbClr val="FFFF00"/>
        </a:solidFill>
        <a:ln w="12700">
          <a:solidFill>
            <a:srgbClr val="808080"/>
          </a:solidFill>
        </a:ln>
      </c:spPr>
    </c:plotArea>
    <c:legend>
      <c:legendPos val="r"/>
      <c:layout>
        <c:manualLayout>
          <c:xMode val="edge"/>
          <c:yMode val="edge"/>
          <c:x val="0.106"/>
          <c:y val="0.12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
          <c:w val="0.946"/>
          <c:h val="0.92475"/>
        </c:manualLayout>
      </c:layout>
      <c:scatterChart>
        <c:scatterStyle val="lineMarker"/>
        <c:varyColors val="0"/>
        <c:ser>
          <c:idx val="0"/>
          <c:order val="0"/>
          <c:tx>
            <c:v>Before thinning</c:v>
          </c:tx>
          <c:spPr>
            <a:ln w="3175">
              <a:noFill/>
            </a:ln>
          </c:spPr>
          <c:extLst>
            <c:ext xmlns:c14="http://schemas.microsoft.com/office/drawing/2007/8/2/chart" uri="{6F2FDCE9-48DA-4B69-8628-5D25D57E5C99}">
              <c14:invertSolidFillFmt>
                <c14:spPr>
                  <a:solidFill>
                    <a:srgbClr val="000000"/>
                  </a:solidFill>
                </c14:spPr>
              </c14:invertSolidFillFmt>
            </c:ext>
          </c:extLst>
          <c:xVal>
            <c:numRef>
              <c:f>'Thinning (2)'!$B$15:$B$46</c:f>
              <c:numCache/>
            </c:numRef>
          </c:xVal>
          <c:yVal>
            <c:numRef>
              <c:f>'Thinning (2)'!$C$15:$C$46</c:f>
              <c:numCache/>
            </c:numRef>
          </c:yVal>
          <c:smooth val="0"/>
        </c:ser>
        <c:ser>
          <c:idx val="1"/>
          <c:order val="1"/>
          <c:tx>
            <c:v>After thinning using linear deployment alt 1</c:v>
          </c:tx>
          <c:spPr>
            <a:ln w="3175">
              <a:noFill/>
            </a:ln>
          </c:spPr>
          <c:extLst>
            <c:ext xmlns:c14="http://schemas.microsoft.com/office/drawing/2007/8/2/chart" uri="{6F2FDCE9-48DA-4B69-8628-5D25D57E5C99}">
              <c14:invertSolidFillFmt>
                <c14:spPr>
                  <a:solidFill>
                    <a:srgbClr val="000000"/>
                  </a:solidFill>
                </c14:spPr>
              </c14:invertSolidFillFmt>
            </c:ext>
          </c:extLst>
          <c:xVal>
            <c:numRef>
              <c:f>'Thinning (2)'!$B$15:$B$46</c:f>
              <c:numCache/>
            </c:numRef>
          </c:xVal>
          <c:yVal>
            <c:numRef>
              <c:f>'Thinning (2)'!$F$15:$F$46</c:f>
              <c:numCache/>
            </c:numRef>
          </c:yVal>
          <c:smooth val="0"/>
        </c:ser>
        <c:axId val="46200681"/>
        <c:axId val="13152946"/>
      </c:scatterChart>
      <c:valAx>
        <c:axId val="46200681"/>
        <c:scaling>
          <c:orientation val="minMax"/>
        </c:scaling>
        <c:axPos val="b"/>
        <c:title>
          <c:tx>
            <c:rich>
              <a:bodyPr vert="horz" rot="0" anchor="ctr"/>
              <a:lstStyle/>
              <a:p>
                <a:pPr algn="ctr">
                  <a:defRPr/>
                </a:pPr>
                <a:r>
                  <a:rPr lang="en-US" cap="none" sz="800" b="1" i="0" u="none" baseline="0">
                    <a:latin typeface="Arial"/>
                    <a:ea typeface="Arial"/>
                    <a:cs typeface="Arial"/>
                  </a:rPr>
                  <a:t>Breeding value</a:t>
                </a:r>
              </a:p>
            </c:rich>
          </c:tx>
          <c:layout>
            <c:manualLayout>
              <c:xMode val="factor"/>
              <c:yMode val="factor"/>
              <c:x val="-0.03075"/>
              <c:y val="-0.0005"/>
            </c:manualLayout>
          </c:layout>
          <c:overlay val="0"/>
          <c:spPr>
            <a:noFill/>
            <a:ln>
              <a:noFill/>
            </a:ln>
          </c:spPr>
        </c:title>
        <c:delete val="0"/>
        <c:numFmt formatCode="General" sourceLinked="1"/>
        <c:majorTickMark val="in"/>
        <c:minorTickMark val="none"/>
        <c:tickLblPos val="nextTo"/>
        <c:crossAx val="13152946"/>
        <c:crossesAt val="0"/>
        <c:crossBetween val="midCat"/>
        <c:dispUnits/>
      </c:valAx>
      <c:valAx>
        <c:axId val="13152946"/>
        <c:scaling>
          <c:orientation val="minMax"/>
        </c:scaling>
        <c:axPos val="l"/>
        <c:title>
          <c:tx>
            <c:rich>
              <a:bodyPr vert="horz" rot="-5400000" anchor="ctr"/>
              <a:lstStyle/>
              <a:p>
                <a:pPr algn="ctr">
                  <a:defRPr/>
                </a:pPr>
                <a:r>
                  <a:rPr lang="en-US" cap="none" sz="800" b="1" i="0" u="none" baseline="0">
                    <a:latin typeface="Arial"/>
                    <a:ea typeface="Arial"/>
                    <a:cs typeface="Arial"/>
                  </a:rPr>
                  <a:t>Ramets per clone</a:t>
                </a:r>
              </a:p>
            </c:rich>
          </c:tx>
          <c:layout>
            <c:manualLayout>
              <c:xMode val="factor"/>
              <c:yMode val="factor"/>
              <c:x val="-0.012"/>
              <c:y val="-0.00125"/>
            </c:manualLayout>
          </c:layout>
          <c:overlay val="0"/>
          <c:spPr>
            <a:noFill/>
            <a:ln>
              <a:noFill/>
            </a:ln>
          </c:spPr>
        </c:title>
        <c:delete val="0"/>
        <c:numFmt formatCode="General" sourceLinked="1"/>
        <c:majorTickMark val="in"/>
        <c:minorTickMark val="none"/>
        <c:tickLblPos val="nextTo"/>
        <c:crossAx val="46200681"/>
        <c:crosses val="autoZero"/>
        <c:crossBetween val="midCat"/>
        <c:dispUnits/>
      </c:valAx>
      <c:spPr>
        <a:solidFill>
          <a:srgbClr val="FFFF00"/>
        </a:solidFill>
        <a:ln w="12700">
          <a:solidFill>
            <a:srgbClr val="808080"/>
          </a:solidFill>
        </a:ln>
      </c:spPr>
    </c:plotArea>
    <c:legend>
      <c:legendPos val="r"/>
      <c:layout>
        <c:manualLayout>
          <c:xMode val="edge"/>
          <c:yMode val="edge"/>
          <c:x val="0.118"/>
          <c:y val="0.43175"/>
          <c:w val="0.47825"/>
          <c:h val="0.187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
          <c:w val="0.946"/>
          <c:h val="0.928"/>
        </c:manualLayout>
      </c:layout>
      <c:scatterChart>
        <c:scatterStyle val="lineMarker"/>
        <c:varyColors val="0"/>
        <c:ser>
          <c:idx val="0"/>
          <c:order val="0"/>
          <c:tx>
            <c:v>Before thinning</c:v>
          </c:tx>
          <c:extLst>
            <c:ext xmlns:c14="http://schemas.microsoft.com/office/drawing/2007/8/2/chart" uri="{6F2FDCE9-48DA-4B69-8628-5D25D57E5C99}">
              <c14:invertSolidFillFmt>
                <c14:spPr>
                  <a:solidFill>
                    <a:srgbClr val="000000"/>
                  </a:solidFill>
                </c14:spPr>
              </c14:invertSolidFillFmt>
            </c:ext>
          </c:extLst>
          <c:xVal>
            <c:numRef>
              <c:f>Thinning!$B$16:$B$102</c:f>
              <c:numCache/>
            </c:numRef>
          </c:xVal>
          <c:yVal>
            <c:numRef>
              <c:f>Thinning!$C$16:$C$102</c:f>
              <c:numCache/>
            </c:numRef>
          </c:yVal>
          <c:smooth val="0"/>
        </c:ser>
        <c:ser>
          <c:idx val="1"/>
          <c:order val="1"/>
          <c:tx>
            <c:v>After thinning using linear deployment alt 1</c:v>
          </c:tx>
          <c:extLst>
            <c:ext xmlns:c14="http://schemas.microsoft.com/office/drawing/2007/8/2/chart" uri="{6F2FDCE9-48DA-4B69-8628-5D25D57E5C99}">
              <c14:invertSolidFillFmt>
                <c14:spPr>
                  <a:solidFill>
                    <a:srgbClr val="000000"/>
                  </a:solidFill>
                </c14:spPr>
              </c14:invertSolidFillFmt>
            </c:ext>
          </c:extLst>
          <c:xVal>
            <c:numRef>
              <c:f>Thinning!$B$16:$B$102</c:f>
              <c:numCache/>
            </c:numRef>
          </c:xVal>
          <c:yVal>
            <c:numRef>
              <c:f>Thinning!$F$16:$F$102</c:f>
              <c:numCache/>
            </c:numRef>
          </c:yVal>
          <c:smooth val="0"/>
        </c:ser>
        <c:axId val="51267651"/>
        <c:axId val="58755676"/>
      </c:scatterChart>
      <c:valAx>
        <c:axId val="51267651"/>
        <c:scaling>
          <c:orientation val="minMax"/>
          <c:min val="-2.5"/>
        </c:scaling>
        <c:axPos val="b"/>
        <c:title>
          <c:tx>
            <c:rich>
              <a:bodyPr vert="horz" rot="0" anchor="ctr"/>
              <a:lstStyle/>
              <a:p>
                <a:pPr algn="ctr">
                  <a:defRPr/>
                </a:pPr>
                <a:r>
                  <a:rPr lang="en-US" cap="none" sz="800" b="1" i="0" u="none" baseline="0">
                    <a:latin typeface="Arial"/>
                    <a:ea typeface="Arial"/>
                    <a:cs typeface="Arial"/>
                  </a:rPr>
                  <a:t>Breeding value</a:t>
                </a:r>
              </a:p>
            </c:rich>
          </c:tx>
          <c:layout>
            <c:manualLayout>
              <c:xMode val="factor"/>
              <c:yMode val="factor"/>
              <c:x val="-0.03075"/>
              <c:y val="-0.0005"/>
            </c:manualLayout>
          </c:layout>
          <c:overlay val="0"/>
          <c:spPr>
            <a:noFill/>
            <a:ln>
              <a:noFill/>
            </a:ln>
          </c:spPr>
        </c:title>
        <c:delete val="0"/>
        <c:numFmt formatCode="General" sourceLinked="1"/>
        <c:majorTickMark val="in"/>
        <c:minorTickMark val="none"/>
        <c:tickLblPos val="nextTo"/>
        <c:crossAx val="58755676"/>
        <c:crossesAt val="0"/>
        <c:crossBetween val="midCat"/>
        <c:dispUnits/>
      </c:valAx>
      <c:valAx>
        <c:axId val="58755676"/>
        <c:scaling>
          <c:orientation val="minMax"/>
        </c:scaling>
        <c:axPos val="l"/>
        <c:title>
          <c:tx>
            <c:rich>
              <a:bodyPr vert="horz" rot="-5400000" anchor="ctr"/>
              <a:lstStyle/>
              <a:p>
                <a:pPr algn="ctr">
                  <a:defRPr/>
                </a:pPr>
                <a:r>
                  <a:rPr lang="en-US" cap="none" sz="800" b="1" i="0" u="none" baseline="0">
                    <a:latin typeface="Arial"/>
                    <a:ea typeface="Arial"/>
                    <a:cs typeface="Arial"/>
                  </a:rPr>
                  <a:t>Ramets per clone</a:t>
                </a:r>
              </a:p>
            </c:rich>
          </c:tx>
          <c:layout>
            <c:manualLayout>
              <c:xMode val="factor"/>
              <c:yMode val="factor"/>
              <c:x val="-0.012"/>
              <c:y val="-0.00125"/>
            </c:manualLayout>
          </c:layout>
          <c:overlay val="0"/>
          <c:spPr>
            <a:noFill/>
            <a:ln>
              <a:noFill/>
            </a:ln>
          </c:spPr>
        </c:title>
        <c:delete val="0"/>
        <c:numFmt formatCode="General" sourceLinked="1"/>
        <c:majorTickMark val="in"/>
        <c:minorTickMark val="none"/>
        <c:tickLblPos val="nextTo"/>
        <c:crossAx val="51267651"/>
        <c:crossesAt val="-2.5"/>
        <c:crossBetween val="midCat"/>
        <c:dispUnits/>
      </c:valAx>
      <c:spPr>
        <a:solidFill>
          <a:srgbClr val="FFFF00"/>
        </a:solidFill>
        <a:ln w="12700">
          <a:solidFill>
            <a:srgbClr val="808080"/>
          </a:solidFill>
        </a:ln>
      </c:spPr>
    </c:plotArea>
    <c:legend>
      <c:legendPos val="r"/>
      <c:layout>
        <c:manualLayout>
          <c:xMode val="edge"/>
          <c:yMode val="edge"/>
          <c:x val="0.118"/>
          <c:y val="0.4395"/>
          <c:w val="0.47825"/>
          <c:h val="0.178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
          <c:y val="0"/>
          <c:w val="0.936"/>
          <c:h val="0.92225"/>
        </c:manualLayout>
      </c:layout>
      <c:scatterChart>
        <c:scatterStyle val="lineMarker"/>
        <c:varyColors val="0"/>
        <c:ser>
          <c:idx val="0"/>
          <c:order val="0"/>
          <c:tx>
            <c:strRef>
              <c:f>Example2!$C$5</c:f>
              <c:strCache>
                <c:ptCount val="1"/>
                <c:pt idx="0">
                  <c:v>Before thinning</c:v>
                </c:pt>
              </c:strCache>
            </c:strRef>
          </c:tx>
          <c:extLst>
            <c:ext xmlns:c14="http://schemas.microsoft.com/office/drawing/2007/8/2/chart" uri="{6F2FDCE9-48DA-4B69-8628-5D25D57E5C99}">
              <c14:invertSolidFillFmt>
                <c14:spPr>
                  <a:solidFill>
                    <a:srgbClr val="000000"/>
                  </a:solidFill>
                </c14:spPr>
              </c14:invertSolidFillFmt>
            </c:ext>
          </c:extLst>
          <c:xVal>
            <c:numRef>
              <c:f>Example2!$B$6:$B$41</c:f>
              <c:numCache/>
            </c:numRef>
          </c:xVal>
          <c:yVal>
            <c:numRef>
              <c:f>Example2!$C$6:$C$41</c:f>
              <c:numCache/>
            </c:numRef>
          </c:yVal>
          <c:smooth val="0"/>
        </c:ser>
        <c:ser>
          <c:idx val="1"/>
          <c:order val="1"/>
          <c:tx>
            <c:strRef>
              <c:f>Example2!$D$5</c:f>
              <c:strCache>
                <c:ptCount val="1"/>
                <c:pt idx="0">
                  <c:v>Lin dep</c:v>
                </c:pt>
              </c:strCache>
            </c:strRef>
          </c:tx>
          <c:extLst>
            <c:ext xmlns:c14="http://schemas.microsoft.com/office/drawing/2007/8/2/chart" uri="{6F2FDCE9-48DA-4B69-8628-5D25D57E5C99}">
              <c14:invertSolidFillFmt>
                <c14:spPr>
                  <a:solidFill>
                    <a:srgbClr val="000000"/>
                  </a:solidFill>
                </c14:spPr>
              </c14:invertSolidFillFmt>
            </c:ext>
          </c:extLst>
          <c:xVal>
            <c:numRef>
              <c:f>Example2!$B$6:$B$41</c:f>
              <c:numCache/>
            </c:numRef>
          </c:xVal>
          <c:yVal>
            <c:numRef>
              <c:f>Example2!$D$6:$D$41</c:f>
              <c:numCache/>
            </c:numRef>
          </c:yVal>
          <c:smooth val="0"/>
        </c:ser>
        <c:axId val="59039037"/>
        <c:axId val="61589286"/>
      </c:scatterChart>
      <c:valAx>
        <c:axId val="59039037"/>
        <c:scaling>
          <c:orientation val="minMax"/>
          <c:min val="-2.5"/>
        </c:scaling>
        <c:axPos val="b"/>
        <c:title>
          <c:tx>
            <c:rich>
              <a:bodyPr vert="horz" rot="0" anchor="ctr"/>
              <a:lstStyle/>
              <a:p>
                <a:pPr algn="ctr">
                  <a:defRPr/>
                </a:pPr>
                <a:r>
                  <a:rPr lang="en-US" cap="none" sz="800" b="1" i="0" u="none" baseline="0">
                    <a:latin typeface="Arial"/>
                    <a:ea typeface="Arial"/>
                    <a:cs typeface="Arial"/>
                  </a:rPr>
                  <a:t>Breeding value</a:t>
                </a:r>
              </a:p>
            </c:rich>
          </c:tx>
          <c:layout>
            <c:manualLayout>
              <c:xMode val="factor"/>
              <c:yMode val="factor"/>
              <c:x val="-0.03075"/>
              <c:y val="-0.0005"/>
            </c:manualLayout>
          </c:layout>
          <c:overlay val="0"/>
          <c:spPr>
            <a:noFill/>
            <a:ln>
              <a:noFill/>
            </a:ln>
          </c:spPr>
        </c:title>
        <c:delete val="0"/>
        <c:numFmt formatCode="General" sourceLinked="1"/>
        <c:majorTickMark val="in"/>
        <c:minorTickMark val="none"/>
        <c:tickLblPos val="nextTo"/>
        <c:crossAx val="61589286"/>
        <c:crossesAt val="0"/>
        <c:crossBetween val="midCat"/>
        <c:dispUnits/>
      </c:valAx>
      <c:valAx>
        <c:axId val="61589286"/>
        <c:scaling>
          <c:orientation val="minMax"/>
        </c:scaling>
        <c:axPos val="l"/>
        <c:title>
          <c:tx>
            <c:rich>
              <a:bodyPr vert="horz" rot="-5400000" anchor="ctr"/>
              <a:lstStyle/>
              <a:p>
                <a:pPr algn="ctr">
                  <a:defRPr/>
                </a:pPr>
                <a:r>
                  <a:rPr lang="en-US" cap="none" sz="800" b="1" i="0" u="none" baseline="0">
                    <a:latin typeface="Arial"/>
                    <a:ea typeface="Arial"/>
                    <a:cs typeface="Arial"/>
                  </a:rPr>
                  <a:t>Ramets per clone</a:t>
                </a:r>
              </a:p>
            </c:rich>
          </c:tx>
          <c:layout>
            <c:manualLayout>
              <c:xMode val="factor"/>
              <c:yMode val="factor"/>
              <c:x val="-0.012"/>
              <c:y val="-0.00125"/>
            </c:manualLayout>
          </c:layout>
          <c:overlay val="0"/>
          <c:spPr>
            <a:noFill/>
            <a:ln>
              <a:noFill/>
            </a:ln>
          </c:spPr>
        </c:title>
        <c:delete val="0"/>
        <c:numFmt formatCode="General" sourceLinked="1"/>
        <c:majorTickMark val="in"/>
        <c:minorTickMark val="none"/>
        <c:tickLblPos val="nextTo"/>
        <c:crossAx val="59039037"/>
        <c:crossesAt val="-2.5"/>
        <c:crossBetween val="midCat"/>
        <c:dispUnits/>
      </c:valAx>
      <c:spPr>
        <a:solidFill>
          <a:srgbClr val="FFFFFF"/>
        </a:solidFill>
        <a:ln w="12700">
          <a:solidFill>
            <a:srgbClr val="808080"/>
          </a:solidFill>
        </a:ln>
      </c:spPr>
    </c:plotArea>
    <c:legend>
      <c:legendPos val="r"/>
      <c:layout>
        <c:manualLayout>
          <c:xMode val="edge"/>
          <c:yMode val="edge"/>
          <c:x val="0.4355"/>
          <c:y val="0.687"/>
          <c:w val="0.5645"/>
          <c:h val="0.14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57150</xdr:rowOff>
    </xdr:from>
    <xdr:to>
      <xdr:col>8</xdr:col>
      <xdr:colOff>581025</xdr:colOff>
      <xdr:row>15</xdr:row>
      <xdr:rowOff>142875</xdr:rowOff>
    </xdr:to>
    <xdr:sp>
      <xdr:nvSpPr>
        <xdr:cNvPr id="1" name="Text 15"/>
        <xdr:cNvSpPr txBox="1">
          <a:spLocks noChangeArrowheads="1"/>
        </xdr:cNvSpPr>
      </xdr:nvSpPr>
      <xdr:spPr>
        <a:xfrm>
          <a:off x="28575" y="1028700"/>
          <a:ext cx="5429250"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Introduction</a:t>
          </a:r>
          <a:r>
            <a:rPr lang="en-US" cap="none" sz="1000" b="0" i="0" u="none" baseline="0">
              <a:latin typeface="Arial"/>
              <a:ea typeface="Arial"/>
              <a:cs typeface="Arial"/>
            </a:rPr>
            <a:t>
We have a prejustice that selected clones should be equally deployed to the production population. The algorithms presented here suggests that if genetic values of the clones are known, it is often wiser to use more clones, but in the same time the better ones to a higher extent. The reason to have more than the single best clone is to counteract some disadvantage. If a very reasonable assumption how the disadvantage depends on the occurrence of a clone it is a logic mathematical consequence that clones should be utilized proportional to their breeding value (linear deployment). Actually every linear deployment is a optimal for some circumstances, the problem is to specify the circumstances.</a:t>
          </a:r>
        </a:p>
      </xdr:txBody>
    </xdr:sp>
    <xdr:clientData/>
  </xdr:twoCellAnchor>
  <xdr:twoCellAnchor>
    <xdr:from>
      <xdr:col>0</xdr:col>
      <xdr:colOff>104775</xdr:colOff>
      <xdr:row>3</xdr:row>
      <xdr:rowOff>142875</xdr:rowOff>
    </xdr:from>
    <xdr:to>
      <xdr:col>9</xdr:col>
      <xdr:colOff>57150</xdr:colOff>
      <xdr:row>6</xdr:row>
      <xdr:rowOff>9525</xdr:rowOff>
    </xdr:to>
    <xdr:sp>
      <xdr:nvSpPr>
        <xdr:cNvPr id="2" name="Text 16"/>
        <xdr:cNvSpPr txBox="1">
          <a:spLocks noChangeArrowheads="1"/>
        </xdr:cNvSpPr>
      </xdr:nvSpPr>
      <xdr:spPr>
        <a:xfrm>
          <a:off x="104775" y="628650"/>
          <a:ext cx="54387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FF"/>
              </a:solidFill>
              <a:latin typeface="Arial"/>
              <a:ea typeface="Arial"/>
              <a:cs typeface="Arial"/>
            </a:rPr>
            <a:t>Welcome to LINEAR_DEPOYMENT</a:t>
          </a:r>
        </a:p>
      </xdr:txBody>
    </xdr:sp>
    <xdr:clientData/>
  </xdr:twoCellAnchor>
  <xdr:twoCellAnchor>
    <xdr:from>
      <xdr:col>0</xdr:col>
      <xdr:colOff>57150</xdr:colOff>
      <xdr:row>16</xdr:row>
      <xdr:rowOff>85725</xdr:rowOff>
    </xdr:from>
    <xdr:to>
      <xdr:col>9</xdr:col>
      <xdr:colOff>9525</xdr:colOff>
      <xdr:row>32</xdr:row>
      <xdr:rowOff>114300</xdr:rowOff>
    </xdr:to>
    <xdr:sp>
      <xdr:nvSpPr>
        <xdr:cNvPr id="3" name="Text 19"/>
        <xdr:cNvSpPr txBox="1">
          <a:spLocks noChangeArrowheads="1"/>
        </xdr:cNvSpPr>
      </xdr:nvSpPr>
      <xdr:spPr>
        <a:xfrm>
          <a:off x="57150" y="2676525"/>
          <a:ext cx="5438775" cy="2609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Connection to other concepts
Effective population size
</a:t>
          </a:r>
          <a:r>
            <a:rPr lang="en-US" cap="none" sz="1000" b="0" i="0" u="none" baseline="0">
              <a:latin typeface="Arial"/>
              <a:ea typeface="Arial"/>
              <a:cs typeface="Arial"/>
            </a:rPr>
            <a:t>This sheet is focused on the effective number of clones in seed orchards. This can be interpreted as the clone number having the same diversity as the suggested set. It is connected to the classical (Wright's) effective population size in the inbreeding sense, as if the ramets produce seeds by random mating, the inbreeding effective population size of that system will be the same as the effective clonal number in seed orchards used here.</a:t>
          </a:r>
          <a:r>
            <a:rPr lang="en-US" cap="none" sz="1000" b="0" i="0" u="none" baseline="0">
              <a:solidFill>
                <a:srgbClr val="FF00FF"/>
              </a:solidFill>
              <a:latin typeface="Arial"/>
              <a:ea typeface="Arial"/>
              <a:cs typeface="Arial"/>
            </a:rPr>
            <a:t> </a:t>
          </a:r>
          <a:r>
            <a:rPr lang="en-US" cap="none" sz="1200" b="1" i="0" u="none" baseline="0">
              <a:solidFill>
                <a:srgbClr val="FF00FF"/>
              </a:solidFill>
              <a:latin typeface="Arial"/>
              <a:ea typeface="Arial"/>
              <a:cs typeface="Arial"/>
            </a:rPr>
            <a:t>
Status number
</a:t>
          </a:r>
          <a:r>
            <a:rPr lang="en-US" cap="none" sz="1000" b="0" i="0" u="none" baseline="0">
              <a:latin typeface="Arial"/>
              <a:ea typeface="Arial"/>
              <a:cs typeface="Arial"/>
            </a:rPr>
            <a:t>If clones are unrelated and noninbred, the effective number is also the status number. Note that the penalty differs by a factor two. There are also large similarities with group merit selection.</a:t>
          </a:r>
          <a:r>
            <a:rPr lang="en-US" cap="none" sz="1200" b="1" i="0" u="none" baseline="0">
              <a:solidFill>
                <a:srgbClr val="FF00FF"/>
              </a:solidFill>
              <a:latin typeface="Arial"/>
              <a:ea typeface="Arial"/>
              <a:cs typeface="Arial"/>
            </a:rPr>
            <a:t>
Gene diversity</a:t>
          </a:r>
          <a:r>
            <a:rPr lang="en-US" cap="none" sz="1000" b="0" i="0" u="none" baseline="0">
              <a:latin typeface="Arial"/>
              <a:ea typeface="Arial"/>
              <a:cs typeface="Arial"/>
            </a:rPr>
            <a:t>
Selection has not only effects on gain, but also on "diversity". Gene diiversity is in this workbook one minus half the inverted value of effective clone number. This is congruent with my later use of gene diversity if clones are unrelated and noninbred.</a:t>
          </a:r>
        </a:p>
      </xdr:txBody>
    </xdr:sp>
    <xdr:clientData/>
  </xdr:twoCellAnchor>
  <xdr:twoCellAnchor>
    <xdr:from>
      <xdr:col>0</xdr:col>
      <xdr:colOff>76200</xdr:colOff>
      <xdr:row>32</xdr:row>
      <xdr:rowOff>152400</xdr:rowOff>
    </xdr:from>
    <xdr:to>
      <xdr:col>9</xdr:col>
      <xdr:colOff>0</xdr:colOff>
      <xdr:row>36</xdr:row>
      <xdr:rowOff>57150</xdr:rowOff>
    </xdr:to>
    <xdr:sp>
      <xdr:nvSpPr>
        <xdr:cNvPr id="4" name="Text 23"/>
        <xdr:cNvSpPr txBox="1">
          <a:spLocks noChangeArrowheads="1"/>
        </xdr:cNvSpPr>
      </xdr:nvSpPr>
      <xdr:spPr>
        <a:xfrm>
          <a:off x="76200" y="5324475"/>
          <a:ext cx="54102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Constraints</a:t>
          </a:r>
          <a:r>
            <a:rPr lang="en-US" cap="none" sz="1000" b="0" i="0" u="none" baseline="0">
              <a:solidFill>
                <a:srgbClr val="000000"/>
              </a:solidFill>
              <a:latin typeface="Arial"/>
              <a:ea typeface="Arial"/>
              <a:cs typeface="Arial"/>
            </a:rPr>
            <a:t>
No locality considerations. Gain expressed by one character (which could be an index of many characters).
</a:t>
          </a:r>
        </a:p>
      </xdr:txBody>
    </xdr:sp>
    <xdr:clientData/>
  </xdr:twoCellAnchor>
  <xdr:twoCellAnchor>
    <xdr:from>
      <xdr:col>9</xdr:col>
      <xdr:colOff>523875</xdr:colOff>
      <xdr:row>24</xdr:row>
      <xdr:rowOff>114300</xdr:rowOff>
    </xdr:from>
    <xdr:to>
      <xdr:col>18</xdr:col>
      <xdr:colOff>409575</xdr:colOff>
      <xdr:row>30</xdr:row>
      <xdr:rowOff>104775</xdr:rowOff>
    </xdr:to>
    <xdr:sp>
      <xdr:nvSpPr>
        <xdr:cNvPr id="5" name="Text 24"/>
        <xdr:cNvSpPr txBox="1">
          <a:spLocks noChangeArrowheads="1"/>
        </xdr:cNvSpPr>
      </xdr:nvSpPr>
      <xdr:spPr>
        <a:xfrm>
          <a:off x="6010275" y="4000500"/>
          <a:ext cx="537210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Trouble?</a:t>
          </a:r>
          <a:r>
            <a:rPr lang="en-US" cap="none" sz="1000" b="0" i="0" u="none" baseline="0">
              <a:solidFill>
                <a:srgbClr val="000000"/>
              </a:solidFill>
              <a:latin typeface="Arial"/>
              <a:ea typeface="Arial"/>
              <a:cs typeface="Arial"/>
            </a:rPr>
            <a:t>
Note that it is possible to give impossible input, usually the worksheet will protest by not working properly. E.g. the genetic values should be ordered.
You may be in the wrong place of the workbook or worksheet or you may just not see enough.
If you have not all MS office programmes, some information may be missing.</a:t>
          </a:r>
        </a:p>
      </xdr:txBody>
    </xdr:sp>
    <xdr:clientData/>
  </xdr:twoCellAnchor>
  <xdr:twoCellAnchor>
    <xdr:from>
      <xdr:col>9</xdr:col>
      <xdr:colOff>352425</xdr:colOff>
      <xdr:row>36</xdr:row>
      <xdr:rowOff>66675</xdr:rowOff>
    </xdr:from>
    <xdr:to>
      <xdr:col>18</xdr:col>
      <xdr:colOff>238125</xdr:colOff>
      <xdr:row>62</xdr:row>
      <xdr:rowOff>85725</xdr:rowOff>
    </xdr:to>
    <xdr:sp>
      <xdr:nvSpPr>
        <xdr:cNvPr id="6" name="Text 27"/>
        <xdr:cNvSpPr txBox="1">
          <a:spLocks noChangeArrowheads="1"/>
        </xdr:cNvSpPr>
      </xdr:nvSpPr>
      <xdr:spPr>
        <a:xfrm>
          <a:off x="5838825" y="5886450"/>
          <a:ext cx="5372100" cy="441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Litterature</a:t>
          </a:r>
          <a:r>
            <a:rPr lang="en-US" cap="none" sz="1000" b="0" i="0" u="none" baseline="0">
              <a:solidFill>
                <a:srgbClr val="000000"/>
              </a:solidFill>
              <a:latin typeface="Arial"/>
              <a:ea typeface="Arial"/>
              <a:cs typeface="Arial"/>
            </a:rPr>
            <a:t>
There is rather much to read about linear deployment.
Bondesson, L. and Lindgren, D. 1993. Optimal utilization of clones and genetic thinning of seed   orchards. Silvae Genet. 42:157-163.
Lindgren, D. 1974. Aspects on suitable number of clones in a seed orchard. In: Population and Ecological Genetics, Breeding Theory and Progeny testing, Proc. Joint IUFRO Meeting, Stockholm, Sweden, pp.293-305.
Lindgren, D. 1991. Optimal utilization of genetic resources. For. Tree Improv. 23:51-67. &lt;/p&gt;
Lindgren, D. 1993. The population biology of clonal deployment. In: Clonal Forestry I, Genetics and Biotechnology, Ahuja, M.R. and Libby, W.J. (eds), Springer-Verlag, pp.34-49. &lt;/p&gt;
Lindgren, D. 1993. Quantitative comparison between truncation selection and a better procedure. Hereditas 118:289-292.
Lindgren, D. and Matheson, A.C. 1986. An algorithm for increasing the genetic quality of seed from seed orchards by using the better clones in higher proportions. Silvae Genet. 35:173-177.&lt;
Lindgren, D. and El-Kassaby Y.A. 1989. Genetic consequences by combining selective cone harvesting and genetic thinning in clonal seed orchards. Silvae Genet. 38:65-70.&lt;/p&gt;
Lindgren, D. and Bondesson, L. 1990. Optimal utilization: Normal approximation and the case of an upper bound of the utilization. Swedish University of Agricultural Sciences, Department of Forest Genetics and Plant Physiology, Arbetsrapport 39, 23p.&lt;/p&gt;
Lindgren, D., Libby, W.J. and Bondesson, F.L. 1989. Deployment to plantations of numbers and proportions of clones with special emphasis on maximizing gain at a constant diversity. Theor. Appl. Genet. 77:825-831.
For links to the later theory connecting to the concepts gene diversity, status number, group coancestry etc, see
 Lindgren D &amp; MullinTJ 1998. Relatedness and status number in seed orchard crops. Canadian Journal of Forest Research, 28:276-283.
</a:t>
          </a:r>
        </a:p>
      </xdr:txBody>
    </xdr:sp>
    <xdr:clientData/>
  </xdr:twoCellAnchor>
  <xdr:twoCellAnchor>
    <xdr:from>
      <xdr:col>0</xdr:col>
      <xdr:colOff>104775</xdr:colOff>
      <xdr:row>36</xdr:row>
      <xdr:rowOff>142875</xdr:rowOff>
    </xdr:from>
    <xdr:to>
      <xdr:col>8</xdr:col>
      <xdr:colOff>600075</xdr:colOff>
      <xdr:row>42</xdr:row>
      <xdr:rowOff>114300</xdr:rowOff>
    </xdr:to>
    <xdr:sp>
      <xdr:nvSpPr>
        <xdr:cNvPr id="7" name="Text 34"/>
        <xdr:cNvSpPr txBox="1">
          <a:spLocks noChangeArrowheads="1"/>
        </xdr:cNvSpPr>
      </xdr:nvSpPr>
      <xdr:spPr>
        <a:xfrm>
          <a:off x="104775" y="5962650"/>
          <a:ext cx="5372100"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Acknowledgement</a:t>
          </a:r>
          <a:r>
            <a:rPr lang="en-US" cap="none" sz="1000" b="0" i="0" u="none" baseline="0">
              <a:solidFill>
                <a:srgbClr val="000000"/>
              </a:solidFill>
              <a:latin typeface="Arial"/>
              <a:ea typeface="Arial"/>
              <a:cs typeface="Arial"/>
            </a:rPr>
            <a:t>
I am indebted to Matti Haapanen, YongQi Zheng, Torgny Persson, Tim Mullin, Kyu-Suk Kang and Darius Danusevecius , who have spend some time to test this program or its preceeders and communicated their impressions back to me, and thus helping me to get it better and more understandable.
</a:t>
          </a:r>
        </a:p>
      </xdr:txBody>
    </xdr:sp>
    <xdr:clientData/>
  </xdr:twoCellAnchor>
  <xdr:twoCellAnchor>
    <xdr:from>
      <xdr:col>10</xdr:col>
      <xdr:colOff>19050</xdr:colOff>
      <xdr:row>31</xdr:row>
      <xdr:rowOff>66675</xdr:rowOff>
    </xdr:from>
    <xdr:to>
      <xdr:col>18</xdr:col>
      <xdr:colOff>590550</xdr:colOff>
      <xdr:row>35</xdr:row>
      <xdr:rowOff>123825</xdr:rowOff>
    </xdr:to>
    <xdr:sp>
      <xdr:nvSpPr>
        <xdr:cNvPr id="8" name="Text 35"/>
        <xdr:cNvSpPr txBox="1">
          <a:spLocks noChangeArrowheads="1"/>
        </xdr:cNvSpPr>
      </xdr:nvSpPr>
      <xdr:spPr>
        <a:xfrm>
          <a:off x="6115050" y="5076825"/>
          <a:ext cx="5448300"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Additional options?</a:t>
          </a:r>
          <a:r>
            <a:rPr lang="en-US" cap="none" sz="1000" b="0" i="0" u="none" baseline="0">
              <a:solidFill>
                <a:srgbClr val="000000"/>
              </a:solidFill>
              <a:latin typeface="Arial"/>
              <a:ea typeface="Arial"/>
              <a:cs typeface="Arial"/>
            </a:rPr>
            <a:t>
Note that it is possible to utilize the workbook for more than changing the red values once you have understood how it works. The workbook may help to study problems the workbook was not initially built for, additional or modified algorithms can be added.</a:t>
          </a:r>
        </a:p>
      </xdr:txBody>
    </xdr:sp>
    <xdr:clientData/>
  </xdr:twoCellAnchor>
  <xdr:twoCellAnchor>
    <xdr:from>
      <xdr:col>12</xdr:col>
      <xdr:colOff>342900</xdr:colOff>
      <xdr:row>3</xdr:row>
      <xdr:rowOff>76200</xdr:rowOff>
    </xdr:from>
    <xdr:to>
      <xdr:col>15</xdr:col>
      <xdr:colOff>381000</xdr:colOff>
      <xdr:row>5</xdr:row>
      <xdr:rowOff>57150</xdr:rowOff>
    </xdr:to>
    <xdr:sp>
      <xdr:nvSpPr>
        <xdr:cNvPr id="9" name="TextBox 36"/>
        <xdr:cNvSpPr txBox="1">
          <a:spLocks noChangeArrowheads="1"/>
        </xdr:cNvSpPr>
      </xdr:nvSpPr>
      <xdr:spPr>
        <a:xfrm>
          <a:off x="7658100" y="561975"/>
          <a:ext cx="18669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Benefit can be expressed as </a:t>
          </a:r>
        </a:p>
      </xdr:txBody>
    </xdr:sp>
    <xdr:clientData/>
  </xdr:twoCellAnchor>
  <xdr:twoCellAnchor>
    <xdr:from>
      <xdr:col>9</xdr:col>
      <xdr:colOff>381000</xdr:colOff>
      <xdr:row>64</xdr:row>
      <xdr:rowOff>0</xdr:rowOff>
    </xdr:from>
    <xdr:to>
      <xdr:col>16</xdr:col>
      <xdr:colOff>542925</xdr:colOff>
      <xdr:row>76</xdr:row>
      <xdr:rowOff>104775</xdr:rowOff>
    </xdr:to>
    <xdr:sp>
      <xdr:nvSpPr>
        <xdr:cNvPr id="10" name="TextBox 42"/>
        <xdr:cNvSpPr txBox="1">
          <a:spLocks noChangeArrowheads="1"/>
        </xdr:cNvSpPr>
      </xdr:nvSpPr>
      <xdr:spPr>
        <a:xfrm>
          <a:off x="5867400" y="10544175"/>
          <a:ext cx="442912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How does Benefit, penalty, clone number and intercept relate for linear deployment?
</a:t>
          </a:r>
          <a:r>
            <a:rPr lang="en-US" cap="none" sz="1000" b="0" i="0" u="none" baseline="0">
              <a:latin typeface="Arial"/>
              <a:ea typeface="Arial"/>
              <a:cs typeface="Arial"/>
            </a:rPr>
            <a:t>
Any linear deployment (defined by g0) is the solution to a problem, the question is what the penalty (c) is to the corresponding problem. One formula for the relation given by Lindgren &amp; Matheson (1986) (see elsewhere on the sheet).
This gives the corresponding c' when a set of g, the intercept (and as a function of them also the number of clones with representation, N)
Note that the penaly of clonal representation is half that of penalty of group coancestry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3</xdr:row>
      <xdr:rowOff>9525</xdr:rowOff>
    </xdr:from>
    <xdr:to>
      <xdr:col>12</xdr:col>
      <xdr:colOff>219075</xdr:colOff>
      <xdr:row>6</xdr:row>
      <xdr:rowOff>114300</xdr:rowOff>
    </xdr:to>
    <xdr:sp>
      <xdr:nvSpPr>
        <xdr:cNvPr id="1" name="TextBox 8"/>
        <xdr:cNvSpPr txBox="1">
          <a:spLocks noChangeArrowheads="1"/>
        </xdr:cNvSpPr>
      </xdr:nvSpPr>
      <xdr:spPr>
        <a:xfrm>
          <a:off x="2676525" y="495300"/>
          <a:ext cx="4886325" cy="590550"/>
        </a:xfrm>
        <a:prstGeom prst="rect">
          <a:avLst/>
        </a:prstGeom>
        <a:solidFill>
          <a:srgbClr val="FFFF99"/>
        </a:solidFill>
        <a:ln w="9525" cmpd="sng">
          <a:solidFill>
            <a:srgbClr val="00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1. Fill (or paste) breeding values of seed orchard candidates in column C!
2. Set the lowest accepted breeding value in cell B2!
3. Read the suggested proportions in column 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35</xdr:row>
      <xdr:rowOff>85725</xdr:rowOff>
    </xdr:from>
    <xdr:to>
      <xdr:col>17</xdr:col>
      <xdr:colOff>533400</xdr:colOff>
      <xdr:row>57</xdr:row>
      <xdr:rowOff>85725</xdr:rowOff>
    </xdr:to>
    <xdr:graphicFrame>
      <xdr:nvGraphicFramePr>
        <xdr:cNvPr id="1" name="Chart 1"/>
        <xdr:cNvGraphicFramePr/>
      </xdr:nvGraphicFramePr>
      <xdr:xfrm>
        <a:off x="4857750" y="5686425"/>
        <a:ext cx="5381625" cy="3581400"/>
      </xdr:xfrm>
      <a:graphic>
        <a:graphicData uri="http://schemas.openxmlformats.org/drawingml/2006/chart">
          <c:chart xmlns:c="http://schemas.openxmlformats.org/drawingml/2006/chart" r:id="rId1"/>
        </a:graphicData>
      </a:graphic>
    </xdr:graphicFrame>
    <xdr:clientData/>
  </xdr:twoCellAnchor>
  <xdr:twoCellAnchor>
    <xdr:from>
      <xdr:col>9</xdr:col>
      <xdr:colOff>238125</xdr:colOff>
      <xdr:row>4</xdr:row>
      <xdr:rowOff>104775</xdr:rowOff>
    </xdr:from>
    <xdr:to>
      <xdr:col>18</xdr:col>
      <xdr:colOff>104775</xdr:colOff>
      <xdr:row>15</xdr:row>
      <xdr:rowOff>142875</xdr:rowOff>
    </xdr:to>
    <xdr:sp>
      <xdr:nvSpPr>
        <xdr:cNvPr id="2" name="Text 26"/>
        <xdr:cNvSpPr txBox="1">
          <a:spLocks noChangeArrowheads="1"/>
        </xdr:cNvSpPr>
      </xdr:nvSpPr>
      <xdr:spPr>
        <a:xfrm>
          <a:off x="4876800" y="781050"/>
          <a:ext cx="55435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You can use your own set of candidates!</a:t>
          </a:r>
          <a:r>
            <a:rPr lang="en-US" cap="none" sz="1000" b="0" i="0" u="none" baseline="0">
              <a:solidFill>
                <a:srgbClr val="FF00FF"/>
              </a:solidFill>
              <a:latin typeface="Arial"/>
              <a:ea typeface="Arial"/>
              <a:cs typeface="Arial"/>
            </a:rPr>
            <a:t>
Proceed in the following way: type in the breeding values of your seed orchard candidates or paste them in starting at </a:t>
          </a:r>
          <a:r>
            <a:rPr lang="en-US" cap="none" sz="1000" b="0" i="0" u="none" baseline="0">
              <a:solidFill>
                <a:srgbClr val="800080"/>
              </a:solidFill>
              <a:latin typeface="Arial"/>
              <a:ea typeface="Arial"/>
              <a:cs typeface="Arial"/>
            </a:rPr>
            <a:t>B16</a:t>
          </a:r>
          <a:r>
            <a:rPr lang="en-US" cap="none" sz="1000" b="0" i="0" u="none" baseline="0">
              <a:solidFill>
                <a:srgbClr val="FF00FF"/>
              </a:solidFill>
              <a:latin typeface="Arial"/>
              <a:ea typeface="Arial"/>
              <a:cs typeface="Arial"/>
            </a:rPr>
            <a:t>. You are strongly recommended to give your breeding values in rank order. It is critical that prior to pasting or typing of the BV's,  the number of rows is adjusted to the exact number of candidates before you enter data, so the range indicators in some cells points at the last row with data. Thus all cells in the green range should contain values for breeding values and cell </a:t>
          </a:r>
          <a:r>
            <a:rPr lang="en-US" cap="none" sz="1000" b="0" i="0" u="none" baseline="0">
              <a:solidFill>
                <a:srgbClr val="800000"/>
              </a:solidFill>
              <a:latin typeface="Arial"/>
              <a:ea typeface="Arial"/>
              <a:cs typeface="Arial"/>
            </a:rPr>
            <a:t>A6</a:t>
          </a:r>
          <a:r>
            <a:rPr lang="en-US" cap="none" sz="1000" b="0" i="0" u="none" baseline="0">
              <a:solidFill>
                <a:srgbClr val="FF00FF"/>
              </a:solidFill>
              <a:latin typeface="Arial"/>
              <a:ea typeface="Arial"/>
              <a:cs typeface="Arial"/>
            </a:rPr>
            <a:t> should show the correct number of entries.</a:t>
          </a:r>
          <a:r>
            <a:rPr lang="en-US" cap="none" sz="1000" b="0" i="0" u="none" baseline="0">
              <a:solidFill>
                <a:srgbClr val="00FF00"/>
              </a:solidFill>
              <a:latin typeface="Arial"/>
              <a:ea typeface="Arial"/>
              <a:cs typeface="Arial"/>
            </a:rPr>
            <a:t>.</a:t>
          </a:r>
          <a:r>
            <a:rPr lang="en-US" cap="none" sz="1000" b="0" i="0" u="none" baseline="0">
              <a:solidFill>
                <a:srgbClr val="FF00FF"/>
              </a:solidFill>
              <a:latin typeface="Arial"/>
              <a:ea typeface="Arial"/>
              <a:cs typeface="Arial"/>
            </a:rPr>
            <a:t> 
To remove or insert, first mark rows, then use menu </a:t>
          </a:r>
          <a:r>
            <a:rPr lang="en-US" cap="none" sz="1000" b="0" i="1" u="sng" baseline="0">
              <a:solidFill>
                <a:srgbClr val="993366"/>
              </a:solidFill>
              <a:latin typeface="Arial"/>
              <a:ea typeface="Arial"/>
              <a:cs typeface="Arial"/>
            </a:rPr>
            <a:t>I</a:t>
          </a:r>
          <a:r>
            <a:rPr lang="en-US" cap="none" sz="1000" b="0" i="1" u="none" baseline="0">
              <a:solidFill>
                <a:srgbClr val="993366"/>
              </a:solidFill>
              <a:latin typeface="Arial"/>
              <a:ea typeface="Arial"/>
              <a:cs typeface="Arial"/>
            </a:rPr>
            <a:t>nsert_</a:t>
          </a:r>
          <a:r>
            <a:rPr lang="en-US" cap="none" sz="1000" b="0" i="1" u="sng" baseline="0">
              <a:solidFill>
                <a:srgbClr val="993366"/>
              </a:solidFill>
              <a:latin typeface="Arial"/>
              <a:ea typeface="Arial"/>
              <a:cs typeface="Arial"/>
            </a:rPr>
            <a:t>R</a:t>
          </a:r>
          <a:r>
            <a:rPr lang="en-US" cap="none" sz="1000" b="0" i="1" u="none" baseline="0">
              <a:solidFill>
                <a:srgbClr val="993366"/>
              </a:solidFill>
              <a:latin typeface="Arial"/>
              <a:ea typeface="Arial"/>
              <a:cs typeface="Arial"/>
            </a:rPr>
            <a:t>ows</a:t>
          </a:r>
          <a:r>
            <a:rPr lang="en-US" cap="none" sz="1000" b="0" i="0" u="none" baseline="0">
              <a:solidFill>
                <a:srgbClr val="FF00FF"/>
              </a:solidFill>
              <a:latin typeface="Arial"/>
              <a:ea typeface="Arial"/>
              <a:cs typeface="Arial"/>
            </a:rPr>
            <a:t> or </a:t>
          </a:r>
          <a:r>
            <a:rPr lang="en-US" cap="none" sz="1000" b="0" i="1" u="sng" baseline="0">
              <a:solidFill>
                <a:srgbClr val="993366"/>
              </a:solidFill>
              <a:latin typeface="Arial"/>
              <a:ea typeface="Arial"/>
              <a:cs typeface="Arial"/>
            </a:rPr>
            <a:t>E</a:t>
          </a:r>
          <a:r>
            <a:rPr lang="en-US" cap="none" sz="1000" b="0" i="1" u="none" baseline="0">
              <a:solidFill>
                <a:srgbClr val="993366"/>
              </a:solidFill>
              <a:latin typeface="Arial"/>
              <a:ea typeface="Arial"/>
              <a:cs typeface="Arial"/>
            </a:rPr>
            <a:t>dit_</a:t>
          </a:r>
          <a:r>
            <a:rPr lang="en-US" cap="none" sz="1000" b="0" i="1" u="sng" baseline="0">
              <a:solidFill>
                <a:srgbClr val="993366"/>
              </a:solidFill>
              <a:latin typeface="Arial"/>
              <a:ea typeface="Arial"/>
              <a:cs typeface="Arial"/>
            </a:rPr>
            <a:t>D</a:t>
          </a:r>
          <a:r>
            <a:rPr lang="en-US" cap="none" sz="1000" b="0" i="1" u="none" baseline="0">
              <a:solidFill>
                <a:srgbClr val="993366"/>
              </a:solidFill>
              <a:latin typeface="Arial"/>
              <a:ea typeface="Arial"/>
              <a:cs typeface="Arial"/>
            </a:rPr>
            <a:t>elete</a:t>
          </a:r>
          <a:r>
            <a:rPr lang="en-US" cap="none" sz="1000" b="0" i="0" u="none" baseline="0">
              <a:solidFill>
                <a:srgbClr val="FF00FF"/>
              </a:solidFill>
              <a:latin typeface="Arial"/>
              <a:ea typeface="Arial"/>
              <a:cs typeface="Arial"/>
            </a:rPr>
            <a:t>
The column starting at </a:t>
          </a:r>
          <a:r>
            <a:rPr lang="en-US" cap="none" sz="1000" b="0" i="0" u="none" baseline="0">
              <a:solidFill>
                <a:srgbClr val="800080"/>
              </a:solidFill>
              <a:latin typeface="Arial"/>
              <a:ea typeface="Arial"/>
              <a:cs typeface="Arial"/>
            </a:rPr>
            <a:t>A16</a:t>
          </a:r>
          <a:r>
            <a:rPr lang="en-US" cap="none" sz="1000" b="0" i="0" u="none" baseline="0">
              <a:solidFill>
                <a:srgbClr val="FF00FF"/>
              </a:solidFill>
              <a:latin typeface="Arial"/>
              <a:ea typeface="Arial"/>
              <a:cs typeface="Arial"/>
            </a:rPr>
            <a:t> is just clonal identifications for your convenience, you may have your identifications there, the program does not use this information.
</a:t>
          </a:r>
        </a:p>
      </xdr:txBody>
    </xdr:sp>
    <xdr:clientData/>
  </xdr:twoCellAnchor>
  <xdr:twoCellAnchor>
    <xdr:from>
      <xdr:col>9</xdr:col>
      <xdr:colOff>266700</xdr:colOff>
      <xdr:row>15</xdr:row>
      <xdr:rowOff>114300</xdr:rowOff>
    </xdr:from>
    <xdr:to>
      <xdr:col>18</xdr:col>
      <xdr:colOff>123825</xdr:colOff>
      <xdr:row>36</xdr:row>
      <xdr:rowOff>0</xdr:rowOff>
    </xdr:to>
    <xdr:sp>
      <xdr:nvSpPr>
        <xdr:cNvPr id="3" name="TextBox 22"/>
        <xdr:cNvSpPr txBox="1">
          <a:spLocks noChangeArrowheads="1"/>
        </xdr:cNvSpPr>
      </xdr:nvSpPr>
      <xdr:spPr>
        <a:xfrm>
          <a:off x="4905375" y="2466975"/>
          <a:ext cx="5534025" cy="329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FF"/>
              </a:solidFill>
              <a:latin typeface="Arial"/>
              <a:ea typeface="Arial"/>
              <a:cs typeface="Arial"/>
            </a:rPr>
            <a:t>Given is gi (the breeding value of genotype i ordered after size). Actually every effort to deploy clones (use them in proportions) linearly related to breeding values does that job (cf the figure). The problem is to find a pleasing balance between G (gain) and Ne (effective number). Linear deployment gives optimal combinations of G and Ne. Different lines solves the optimisation problem for specific desires. The key parameter to experiment with is </a:t>
          </a:r>
          <a:r>
            <a:rPr lang="en-US" cap="none" sz="1000" b="0" i="1" u="none" baseline="0">
              <a:solidFill>
                <a:srgbClr val="FF00FF"/>
              </a:solidFill>
              <a:latin typeface="Arial"/>
              <a:ea typeface="Arial"/>
              <a:cs typeface="Arial"/>
            </a:rPr>
            <a:t>go</a:t>
          </a:r>
          <a:r>
            <a:rPr lang="en-US" cap="none" sz="1000" b="0" i="0" u="none" baseline="0">
              <a:solidFill>
                <a:srgbClr val="FF00FF"/>
              </a:solidFill>
              <a:latin typeface="Arial"/>
              <a:ea typeface="Arial"/>
              <a:cs typeface="Arial"/>
            </a:rPr>
            <a:t> (the intercept), if you change that (</a:t>
          </a:r>
          <a:r>
            <a:rPr lang="en-US" cap="none" sz="1000" b="0" i="0" u="none" baseline="0">
              <a:solidFill>
                <a:srgbClr val="800080"/>
              </a:solidFill>
              <a:latin typeface="Arial"/>
              <a:ea typeface="Arial"/>
              <a:cs typeface="Arial"/>
            </a:rPr>
            <a:t>C7</a:t>
          </a:r>
          <a:r>
            <a:rPr lang="en-US" cap="none" sz="1000" b="0" i="0" u="none" baseline="0">
              <a:solidFill>
                <a:srgbClr val="FF00FF"/>
              </a:solidFill>
              <a:latin typeface="Arial"/>
              <a:ea typeface="Arial"/>
              <a:cs typeface="Arial"/>
            </a:rPr>
            <a:t> or </a:t>
          </a:r>
          <a:r>
            <a:rPr lang="en-US" cap="none" sz="1000" b="0" i="0" u="none" baseline="0">
              <a:solidFill>
                <a:srgbClr val="800080"/>
              </a:solidFill>
              <a:latin typeface="Arial"/>
              <a:ea typeface="Arial"/>
              <a:cs typeface="Arial"/>
            </a:rPr>
            <a:t>E7</a:t>
          </a:r>
          <a:r>
            <a:rPr lang="en-US" cap="none" sz="1000" b="0" i="0" u="none" baseline="0">
              <a:solidFill>
                <a:srgbClr val="FF00FF"/>
              </a:solidFill>
              <a:latin typeface="Arial"/>
              <a:ea typeface="Arial"/>
              <a:cs typeface="Arial"/>
            </a:rPr>
            <a:t>), Ne responds. You can by trial and error find a solution resulting in a desired </a:t>
          </a:r>
          <a:r>
            <a:rPr lang="en-US" cap="none" sz="1000" b="0" i="1" u="none" baseline="0">
              <a:solidFill>
                <a:srgbClr val="FF00FF"/>
              </a:solidFill>
              <a:latin typeface="Arial"/>
              <a:ea typeface="Arial"/>
              <a:cs typeface="Arial"/>
            </a:rPr>
            <a:t>Ne</a:t>
          </a:r>
          <a:r>
            <a:rPr lang="en-US" cap="none" sz="1000" b="0" i="0" u="none" baseline="0">
              <a:solidFill>
                <a:srgbClr val="FF00FF"/>
              </a:solidFill>
              <a:latin typeface="Arial"/>
              <a:ea typeface="Arial"/>
              <a:cs typeface="Arial"/>
            </a:rPr>
            <a:t>. For the first run you can choose the breeding value of the lowest ranking clone you would like to see represented.  If you then change </a:t>
          </a:r>
          <a:r>
            <a:rPr lang="en-US" cap="none" sz="1000" b="0" i="1" u="none" baseline="0">
              <a:solidFill>
                <a:srgbClr val="FF00FF"/>
              </a:solidFill>
              <a:latin typeface="Arial"/>
              <a:ea typeface="Arial"/>
              <a:cs typeface="Arial"/>
            </a:rPr>
            <a:t>b</a:t>
          </a:r>
          <a:r>
            <a:rPr lang="en-US" cap="none" sz="1000" b="0" i="0" u="none" baseline="0">
              <a:solidFill>
                <a:srgbClr val="FF00FF"/>
              </a:solidFill>
              <a:latin typeface="Arial"/>
              <a:ea typeface="Arial"/>
              <a:cs typeface="Arial"/>
            </a:rPr>
            <a:t> (</a:t>
          </a:r>
          <a:r>
            <a:rPr lang="en-US" cap="none" sz="1000" b="0" i="0" u="none" baseline="0">
              <a:solidFill>
                <a:srgbClr val="800080"/>
              </a:solidFill>
              <a:latin typeface="Arial"/>
              <a:ea typeface="Arial"/>
              <a:cs typeface="Arial"/>
            </a:rPr>
            <a:t>C8</a:t>
          </a:r>
          <a:r>
            <a:rPr lang="en-US" cap="none" sz="1000" b="0" i="0" u="none" baseline="0">
              <a:solidFill>
                <a:srgbClr val="FF00FF"/>
              </a:solidFill>
              <a:latin typeface="Arial"/>
              <a:ea typeface="Arial"/>
              <a:cs typeface="Arial"/>
            </a:rPr>
            <a:t> or </a:t>
          </a:r>
          <a:r>
            <a:rPr lang="en-US" cap="none" sz="1000" b="0" i="0" u="none" baseline="0">
              <a:solidFill>
                <a:srgbClr val="800080"/>
              </a:solidFill>
              <a:latin typeface="Arial"/>
              <a:ea typeface="Arial"/>
              <a:cs typeface="Arial"/>
            </a:rPr>
            <a:t>E8</a:t>
          </a:r>
          <a:r>
            <a:rPr lang="en-US" cap="none" sz="1000" b="0" i="0" u="none" baseline="0">
              <a:solidFill>
                <a:srgbClr val="FF00FF"/>
              </a:solidFill>
              <a:latin typeface="Arial"/>
              <a:ea typeface="Arial"/>
              <a:cs typeface="Arial"/>
            </a:rPr>
            <a:t>), you can watch the ramet number change at cells </a:t>
          </a:r>
          <a:r>
            <a:rPr lang="en-US" cap="none" sz="1000" b="0" i="0" u="none" baseline="0">
              <a:solidFill>
                <a:srgbClr val="800000"/>
              </a:solidFill>
              <a:latin typeface="Arial"/>
              <a:ea typeface="Arial"/>
              <a:cs typeface="Arial"/>
            </a:rPr>
            <a:t>C10</a:t>
          </a:r>
          <a:r>
            <a:rPr lang="en-US" cap="none" sz="1000" b="0" i="0" u="none" baseline="0">
              <a:solidFill>
                <a:srgbClr val="FF00FF"/>
              </a:solidFill>
              <a:latin typeface="Arial"/>
              <a:ea typeface="Arial"/>
              <a:cs typeface="Arial"/>
            </a:rPr>
            <a:t> (or </a:t>
          </a:r>
          <a:r>
            <a:rPr lang="en-US" cap="none" sz="1000" b="0" i="0" u="none" baseline="0">
              <a:solidFill>
                <a:srgbClr val="800000"/>
              </a:solidFill>
              <a:latin typeface="Arial"/>
              <a:ea typeface="Arial"/>
              <a:cs typeface="Arial"/>
            </a:rPr>
            <a:t>E10</a:t>
          </a:r>
          <a:r>
            <a:rPr lang="en-US" cap="none" sz="1000" b="0" i="0" u="none" baseline="0">
              <a:solidFill>
                <a:srgbClr val="FF00FF"/>
              </a:solidFill>
              <a:latin typeface="Arial"/>
              <a:ea typeface="Arial"/>
              <a:cs typeface="Arial"/>
            </a:rPr>
            <a:t>) to get the desired total number of ramets in the new seed orchard.
The worksheet offers space for two alternatives for deploying clones linearly. The idea is to find the best slopes by trial and error changes in </a:t>
          </a:r>
          <a:r>
            <a:rPr lang="en-US" cap="none" sz="1000" b="0" i="1" u="none" baseline="0">
              <a:solidFill>
                <a:srgbClr val="FF00FF"/>
              </a:solidFill>
              <a:latin typeface="Arial"/>
              <a:ea typeface="Arial"/>
              <a:cs typeface="Arial"/>
            </a:rPr>
            <a:t>g0</a:t>
          </a:r>
          <a:r>
            <a:rPr lang="en-US" cap="none" sz="1000" b="0" i="0" u="none" baseline="0">
              <a:solidFill>
                <a:srgbClr val="FF00FF"/>
              </a:solidFill>
              <a:latin typeface="Arial"/>
              <a:ea typeface="Arial"/>
              <a:cs typeface="Arial"/>
            </a:rPr>
            <a:t>, and it is easier to find a maximum if two alternatives can be seen in the same time. By inserting columns and gluing the content more alternatives can be compared at the same time.
 There are columns for two other option. One for using a number top clones in equal proportion (truncation, "conventional") or your own suggestion for proportions (custom). In the truncation alternative you can write in your preference for clonal number as an integer in </a:t>
          </a:r>
          <a:r>
            <a:rPr lang="en-US" cap="none" sz="1000" b="0" i="0" u="none" baseline="0">
              <a:solidFill>
                <a:srgbClr val="800080"/>
              </a:solidFill>
              <a:latin typeface="Arial"/>
              <a:ea typeface="Arial"/>
              <a:cs typeface="Arial"/>
            </a:rPr>
            <a:t>G6</a:t>
          </a:r>
          <a:r>
            <a:rPr lang="en-US" cap="none" sz="1000" b="0" i="0" u="none" baseline="0">
              <a:solidFill>
                <a:srgbClr val="FF00FF"/>
              </a:solidFill>
              <a:latin typeface="Arial"/>
              <a:ea typeface="Arial"/>
              <a:cs typeface="Arial"/>
            </a:rPr>
            <a:t>. When you get some feeling for it and feel that a modification would be preferred (e.g. because of ramet availability, or because this was what was achieved and an analyse of the effect that it was not just as planned is of interest) you can try fill in the column below </a:t>
          </a:r>
          <a:r>
            <a:rPr lang="en-US" cap="none" sz="1000" b="0" i="0" u="none" baseline="0">
              <a:solidFill>
                <a:srgbClr val="800080"/>
              </a:solidFill>
              <a:latin typeface="Arial"/>
              <a:ea typeface="Arial"/>
              <a:cs typeface="Arial"/>
            </a:rPr>
            <a:t>H16</a:t>
          </a:r>
          <a:r>
            <a:rPr lang="en-US" cap="none" sz="1000" b="0" i="0" u="none" baseline="0">
              <a:solidFill>
                <a:srgbClr val="FF00FF"/>
              </a:solidFill>
              <a:latin typeface="Arial"/>
              <a:ea typeface="Arial"/>
              <a:cs typeface="Arial"/>
            </a:rPr>
            <a:t> (thus try the custom alternative).  </a:t>
          </a:r>
        </a:p>
      </xdr:txBody>
    </xdr:sp>
    <xdr:clientData/>
  </xdr:twoCellAnchor>
  <xdr:twoCellAnchor>
    <xdr:from>
      <xdr:col>0</xdr:col>
      <xdr:colOff>190500</xdr:colOff>
      <xdr:row>65</xdr:row>
      <xdr:rowOff>85725</xdr:rowOff>
    </xdr:from>
    <xdr:to>
      <xdr:col>9</xdr:col>
      <xdr:colOff>142875</xdr:colOff>
      <xdr:row>71</xdr:row>
      <xdr:rowOff>123825</xdr:rowOff>
    </xdr:to>
    <xdr:sp>
      <xdr:nvSpPr>
        <xdr:cNvPr id="4" name="TextBox 41"/>
        <xdr:cNvSpPr txBox="1">
          <a:spLocks noChangeArrowheads="1"/>
        </xdr:cNvSpPr>
      </xdr:nvSpPr>
      <xdr:spPr>
        <a:xfrm>
          <a:off x="190500" y="10601325"/>
          <a:ext cx="4591050"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that you can work with a truncated set of candidates, the suggested proportions does not change if you consider candidates, which anyway will not be represented in the seed orchard. If you target a certain effective number it is adviced that you enter double the number of candidates. If you intend to have a certain number of clones, it is suggested you enter that number + a few more. </a:t>
          </a:r>
        </a:p>
      </xdr:txBody>
    </xdr:sp>
    <xdr:clientData/>
  </xdr:twoCellAnchor>
  <xdr:twoCellAnchor>
    <xdr:from>
      <xdr:col>0</xdr:col>
      <xdr:colOff>38100</xdr:colOff>
      <xdr:row>74</xdr:row>
      <xdr:rowOff>104775</xdr:rowOff>
    </xdr:from>
    <xdr:to>
      <xdr:col>11</xdr:col>
      <xdr:colOff>95250</xdr:colOff>
      <xdr:row>104</xdr:row>
      <xdr:rowOff>47625</xdr:rowOff>
    </xdr:to>
    <xdr:sp>
      <xdr:nvSpPr>
        <xdr:cNvPr id="5" name="TextBox 83"/>
        <xdr:cNvSpPr txBox="1">
          <a:spLocks noChangeArrowheads="1"/>
        </xdr:cNvSpPr>
      </xdr:nvSpPr>
      <xdr:spPr>
        <a:xfrm>
          <a:off x="38100" y="12077700"/>
          <a:ext cx="5791200" cy="48006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200" b="1" i="0" u="none" baseline="0">
              <a:latin typeface="Arial"/>
              <a:ea typeface="Arial"/>
              <a:cs typeface="Arial"/>
            </a:rPr>
            <a:t>To better learn this sheet, TRY TO SOLVE THIS TASK</a:t>
          </a:r>
          <a:r>
            <a:rPr lang="en-US" cap="none" sz="1000" b="0" i="0" u="none" baseline="0">
              <a:latin typeface="Arial"/>
              <a:ea typeface="Arial"/>
              <a:cs typeface="Arial"/>
            </a:rPr>
            <a:t>
</a:t>
          </a:r>
          <a:r>
            <a:rPr lang="en-US" cap="none" sz="1000" b="0" i="0" u="none" baseline="0">
              <a:latin typeface="Times New Roman"/>
              <a:ea typeface="Times New Roman"/>
              <a:cs typeface="Times New Roman"/>
            </a:rPr>
            <a:t>Hi, we enclose a list of our progeny tested clones, we thought we wanted to order a seed orchard with the 10 best progeny-tested clones, 2000 ramets in total, to get the desired diversity, but we have heard that there is a better way of doing that by recruiting more ramets from better clones. Please send suggestion on how many ramets we should order for each clone, and if you do not follow our suggestion, please comment on the advantages of yours.
Clone-list: (American data from NC Raleigh, Weir pers comm. Jan 16, 1991. Height (stand scores, cf Hatcher et al. 1981, Silvae Genetica 30:184-). Only Clones represented in four or more crosses.) Clone breeding values for height are as follows:
27, 28, 39, 40, 41, 41, 43, 43, 43, 45, 46, 48, 48, 48, 50, 50, 51, 51, 52, 52, 61, 64, 65, 67, 68, 87. 
Solution
Use workbook: LINEAR_DEPLOYMENT, sheet: ESTAB BY LINE DEPT. Insert the  breeding values ranked in ascending order. By deploying the clones linearly  both higher gain and higher diversity (Ne) can be obtained (alt 1) or the gain can be improved but diversity the same (alt 2) as in the truncation selection alternative, see the table below. 
                    Linear deploy. alternative 1  Linear deploy. alternative 2   Truncation selection
</a:t>
          </a:r>
          <a:r>
            <a:rPr lang="en-US" cap="none" sz="1000" b="0" i="0" u="none" baseline="0">
              <a:latin typeface="Courier"/>
              <a:ea typeface="Courier"/>
              <a:cs typeface="Courier"/>
            </a:rPr>
            <a:t>G0           40                   43.2                  50.5
b           7.044                 9.155                  -
Gain        62.45                 65.0                  61.80
Ne          12.65                 10                    10</a:t>
          </a:r>
          <a:r>
            <a:rPr lang="en-US" cap="none" sz="1000" b="0" i="0" u="none" baseline="0">
              <a:latin typeface="Times New Roman"/>
              <a:ea typeface="Times New Roman"/>
              <a:cs typeface="Times New Roman"/>
            </a:rPr>
            <a:t>
g0- means that clones with breeding values less or equal to g0 are rejected.
The b values can be chosen after choise of the g0 values so that the total ramet number becomes right (= 2000).
According to the alternative 2 by linear deployment, ramet numbers per clone will be (from best clone and down) 401; 227; 218.... In total 17 clones will be represented compared to 10 with the truncation alternative
</a:t>
          </a:r>
        </a:p>
      </xdr:txBody>
    </xdr:sp>
    <xdr:clientData/>
  </xdr:twoCellAnchor>
  <xdr:twoCellAnchor>
    <xdr:from>
      <xdr:col>9</xdr:col>
      <xdr:colOff>409575</xdr:colOff>
      <xdr:row>58</xdr:row>
      <xdr:rowOff>114300</xdr:rowOff>
    </xdr:from>
    <xdr:to>
      <xdr:col>18</xdr:col>
      <xdr:colOff>142875</xdr:colOff>
      <xdr:row>72</xdr:row>
      <xdr:rowOff>133350</xdr:rowOff>
    </xdr:to>
    <xdr:sp>
      <xdr:nvSpPr>
        <xdr:cNvPr id="6" name="TextBox 84"/>
        <xdr:cNvSpPr txBox="1">
          <a:spLocks noChangeArrowheads="1"/>
        </xdr:cNvSpPr>
      </xdr:nvSpPr>
      <xdr:spPr>
        <a:xfrm>
          <a:off x="5048250" y="9458325"/>
          <a:ext cx="5410200" cy="23241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000" b="1" i="0" u="none" baseline="0">
              <a:solidFill>
                <a:srgbClr val="800080"/>
              </a:solidFill>
              <a:latin typeface="Arial"/>
              <a:ea typeface="Arial"/>
              <a:cs typeface="Arial"/>
            </a:rPr>
            <a:t>Math:</a:t>
          </a:r>
          <a:r>
            <a:rPr lang="en-US" cap="none" sz="1000" b="0" i="0" u="none" baseline="0">
              <a:solidFill>
                <a:srgbClr val="800080"/>
              </a:solidFill>
              <a:latin typeface="Arial"/>
              <a:ea typeface="Arial"/>
              <a:cs typeface="Arial"/>
            </a:rPr>
            <a:t>
</a:t>
          </a:r>
          <a:r>
            <a:rPr lang="en-US" cap="none" sz="1000" b="1" i="0" u="none" baseline="0">
              <a:solidFill>
                <a:srgbClr val="800080"/>
              </a:solidFill>
              <a:latin typeface="Arial"/>
              <a:ea typeface="Arial"/>
              <a:cs typeface="Arial"/>
            </a:rPr>
            <a:t>Designations</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G= genetic gain (</a:t>
          </a:r>
          <a:r>
            <a:rPr lang="en-US" cap="none" sz="1000" b="0" i="0" u="none" baseline="0">
              <a:solidFill>
                <a:srgbClr val="800080"/>
              </a:solidFill>
              <a:latin typeface="Symbol"/>
              <a:ea typeface="Symbol"/>
              <a:cs typeface="Symbol"/>
            </a:rPr>
            <a:t>å(</a:t>
          </a:r>
          <a:r>
            <a:rPr lang="en-US" cap="none" sz="1000" b="0" i="0" u="none" baseline="0">
              <a:solidFill>
                <a:srgbClr val="800080"/>
              </a:solidFill>
              <a:latin typeface="Arial"/>
              <a:ea typeface="Arial"/>
              <a:cs typeface="Arial"/>
            </a:rPr>
            <a:t>g</a:t>
          </a:r>
          <a:r>
            <a:rPr lang="en-US" cap="none" sz="1000" b="0" i="0" u="none" baseline="-25000">
              <a:solidFill>
                <a:srgbClr val="800080"/>
              </a:solidFill>
              <a:latin typeface="Arial"/>
              <a:ea typeface="Arial"/>
              <a:cs typeface="Arial"/>
            </a:rPr>
            <a:t>i</a:t>
          </a:r>
          <a:r>
            <a:rPr lang="en-US" cap="none" sz="1000" b="0" i="0" u="none" baseline="0">
              <a:solidFill>
                <a:srgbClr val="800080"/>
              </a:solidFill>
              <a:latin typeface="Arial"/>
              <a:ea typeface="Arial"/>
              <a:cs typeface="Arial"/>
            </a:rPr>
            <a:t> x p</a:t>
          </a:r>
          <a:r>
            <a:rPr lang="en-US" cap="none" sz="1000" b="0" i="0" u="none" baseline="-25000">
              <a:solidFill>
                <a:srgbClr val="800080"/>
              </a:solidFill>
              <a:latin typeface="Arial"/>
              <a:ea typeface="Arial"/>
              <a:cs typeface="Arial"/>
            </a:rPr>
            <a:t>i</a:t>
          </a:r>
          <a:r>
            <a:rPr lang="en-US" cap="none" sz="1000" b="0" i="0" u="none" baseline="0">
              <a:solidFill>
                <a:srgbClr val="800080"/>
              </a:solidFill>
              <a:latin typeface="Arial"/>
              <a:ea typeface="Arial"/>
              <a:cs typeface="Arial"/>
            </a:rPr>
            <a:t>) of those selected)
Ne=effective population size (Status number)= 1/(</a:t>
          </a:r>
          <a:r>
            <a:rPr lang="en-US" cap="none" sz="1000" b="0" i="0" u="none" baseline="0">
              <a:solidFill>
                <a:srgbClr val="800080"/>
              </a:solidFill>
              <a:latin typeface="Symbol"/>
              <a:ea typeface="Symbol"/>
              <a:cs typeface="Symbol"/>
            </a:rPr>
            <a:t>å</a:t>
          </a:r>
          <a:r>
            <a:rPr lang="en-US" cap="none" sz="1000" b="0" i="0" u="none" baseline="0">
              <a:solidFill>
                <a:srgbClr val="800080"/>
              </a:solidFill>
              <a:latin typeface="Arial"/>
              <a:ea typeface="Arial"/>
              <a:cs typeface="Arial"/>
            </a:rPr>
            <a:t> p</a:t>
          </a:r>
          <a:r>
            <a:rPr lang="en-US" cap="none" sz="1000" b="0" i="0" u="none" baseline="-25000">
              <a:solidFill>
                <a:srgbClr val="800080"/>
              </a:solidFill>
              <a:latin typeface="Arial"/>
              <a:ea typeface="Arial"/>
              <a:cs typeface="Arial"/>
            </a:rPr>
            <a:t>i</a:t>
          </a:r>
          <a:r>
            <a:rPr lang="en-US" cap="none" sz="1000" b="0" i="0" u="none" baseline="30000">
              <a:solidFill>
                <a:srgbClr val="800080"/>
              </a:solidFill>
              <a:latin typeface="Arial"/>
              <a:ea typeface="Arial"/>
              <a:cs typeface="Arial"/>
            </a:rPr>
            <a:t>2</a:t>
          </a:r>
          <a:r>
            <a:rPr lang="en-US" cap="none" sz="1000" b="0" i="0" u="none" baseline="0">
              <a:solidFill>
                <a:srgbClr val="800080"/>
              </a:solidFill>
              <a:latin typeface="Arial"/>
              <a:ea typeface="Arial"/>
              <a:cs typeface="Arial"/>
            </a:rPr>
            <a:t>) (a gene diversity measure)
B=benefit ("net gain"; "group merit") 
g0= minimum BV of clones selected (intercept for optimal line)
b= slope, ratio of increase in ramet number within a clone (fi) depending on its BV (increase of proportion of ramets per clone with 1 unit increse in its BV, i.e. slope of optimal line, e.g. if b=2, increase of BV in 1 unit will result to 2 additional ramets per clone (b can not be negative) 
c= penalty coefficient (the higher c is set, the more important is the gene diversity)
gi=breeding value
fi= ramet number within i-th clone
pi=proportion for the use of i-th clone 
1-</a:t>
          </a:r>
          <a:r>
            <a:rPr lang="en-US" cap="none" sz="1000" b="0" i="0" u="none" baseline="0">
              <a:solidFill>
                <a:srgbClr val="800080"/>
              </a:solidFill>
              <a:latin typeface="Symbol"/>
              <a:ea typeface="Symbol"/>
              <a:cs typeface="Symbol"/>
            </a:rPr>
            <a:t>å</a:t>
          </a:r>
          <a:r>
            <a:rPr lang="en-US" cap="none" sz="1000" b="0" i="0" u="none" baseline="0">
              <a:solidFill>
                <a:srgbClr val="800080"/>
              </a:solidFill>
              <a:latin typeface="Arial"/>
              <a:ea typeface="Arial"/>
              <a:cs typeface="Arial"/>
            </a:rPr>
            <a:t> p</a:t>
          </a:r>
          <a:r>
            <a:rPr lang="en-US" cap="none" sz="1000" b="0" i="0" u="none" baseline="-25000">
              <a:solidFill>
                <a:srgbClr val="800080"/>
              </a:solidFill>
              <a:latin typeface="Arial"/>
              <a:ea typeface="Arial"/>
              <a:cs typeface="Arial"/>
            </a:rPr>
            <a:t>i</a:t>
          </a:r>
          <a:r>
            <a:rPr lang="en-US" cap="none" sz="1000" b="0" i="0" u="none" baseline="30000">
              <a:solidFill>
                <a:srgbClr val="800080"/>
              </a:solidFill>
              <a:latin typeface="Arial"/>
              <a:ea typeface="Arial"/>
              <a:cs typeface="Arial"/>
            </a:rPr>
            <a:t>2</a:t>
          </a:r>
          <a:r>
            <a:rPr lang="en-US" cap="none" sz="1000" b="0" i="0" u="none" baseline="0">
              <a:solidFill>
                <a:srgbClr val="800080"/>
              </a:solidFill>
              <a:latin typeface="Arial"/>
              <a:ea typeface="Arial"/>
              <a:cs typeface="Arial"/>
            </a:rPr>
            <a:t>/2 is gene diversity, c.f. Lacy 1995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xdr:row>
      <xdr:rowOff>19050</xdr:rowOff>
    </xdr:from>
    <xdr:to>
      <xdr:col>14</xdr:col>
      <xdr:colOff>438150</xdr:colOff>
      <xdr:row>25</xdr:row>
      <xdr:rowOff>76200</xdr:rowOff>
    </xdr:to>
    <xdr:sp>
      <xdr:nvSpPr>
        <xdr:cNvPr id="1" name="TextBox 3"/>
        <xdr:cNvSpPr txBox="1">
          <a:spLocks noChangeArrowheads="1"/>
        </xdr:cNvSpPr>
      </xdr:nvSpPr>
      <xdr:spPr>
        <a:xfrm>
          <a:off x="3562350" y="419100"/>
          <a:ext cx="5324475" cy="3962400"/>
        </a:xfrm>
        <a:prstGeom prst="rect">
          <a:avLst/>
        </a:prstGeom>
        <a:solidFill>
          <a:srgbClr val="CCFFCC"/>
        </a:solidFill>
        <a:ln w="12700" cmpd="sng">
          <a:solidFill>
            <a:srgbClr val="0000FF"/>
          </a:solidFill>
          <a:headEnd type="none"/>
          <a:tailEnd type="none"/>
        </a:ln>
      </xdr:spPr>
      <xdr:txBody>
        <a:bodyPr vertOverflow="clip" wrap="square" lIns="90000" tIns="46800" rIns="90000" bIns="46800"/>
        <a:p>
          <a:pPr algn="l">
            <a:defRPr/>
          </a:pPr>
          <a:r>
            <a:rPr lang="en-US" cap="none" sz="1000" b="1" i="0" u="none" baseline="0">
              <a:solidFill>
                <a:srgbClr val="FF0000"/>
              </a:solidFill>
              <a:latin typeface="Arial"/>
              <a:ea typeface="Arial"/>
              <a:cs typeface="Arial"/>
            </a:rPr>
            <a:t>&lt;Problem&gt;</a:t>
          </a:r>
          <a:r>
            <a:rPr lang="en-US" cap="none" sz="1000" b="0" i="0" u="none" baseline="0">
              <a:latin typeface="Arial"/>
              <a:ea typeface="Arial"/>
              <a:cs typeface="Arial"/>
            </a:rPr>
            <a:t>
A seed orchard of Korean red pine (</a:t>
          </a:r>
          <a:r>
            <a:rPr lang="en-US" cap="none" sz="1000" b="0" i="1" u="none" baseline="0">
              <a:latin typeface="Arial"/>
              <a:ea typeface="Arial"/>
              <a:cs typeface="Arial"/>
            </a:rPr>
            <a:t>Pinus densiflora</a:t>
          </a:r>
          <a:r>
            <a:rPr lang="en-US" cap="none" sz="1000" b="0" i="0" u="none" baseline="0">
              <a:latin typeface="Arial"/>
              <a:ea typeface="Arial"/>
              <a:cs typeface="Arial"/>
            </a:rPr>
            <a:t> S. </a:t>
          </a:r>
          <a:r>
            <a:rPr lang="en-US" cap="none" sz="1000" b="0" i="1" u="none" baseline="0">
              <a:latin typeface="Arial"/>
              <a:ea typeface="Arial"/>
              <a:cs typeface="Arial"/>
            </a:rPr>
            <a:t>et</a:t>
          </a:r>
          <a:r>
            <a:rPr lang="en-US" cap="none" sz="1000" b="0" i="0" u="none" baseline="0">
              <a:latin typeface="Arial"/>
              <a:ea typeface="Arial"/>
              <a:cs typeface="Arial"/>
            </a:rPr>
            <a:t> Z.) is planned for breeding zone 1 in Korea. Candidate plustrees with known breeding values are listed in rank orders (Research Report of FGRI 33; 47-53, 1997). The standard alternative is to use the equal number of ramets for 30 clones. Calculate a corresponding better linear deployment solution. If there were 60 clones instead? To deal with ramet numbers, you may assume that there is a need of 3000 ramets.
</a:t>
          </a:r>
          <a:r>
            <a:rPr lang="en-US" cap="none" sz="1000" b="1" i="0" u="none" baseline="0">
              <a:solidFill>
                <a:srgbClr val="FF0000"/>
              </a:solidFill>
              <a:latin typeface="Arial"/>
              <a:ea typeface="Arial"/>
              <a:cs typeface="Arial"/>
            </a:rPr>
            <a:t>&lt;Solution&gt;</a:t>
          </a:r>
          <a:r>
            <a:rPr lang="en-US" cap="none" sz="1000" b="0" i="0" u="none" baseline="0">
              <a:latin typeface="Arial"/>
              <a:ea typeface="Arial"/>
              <a:cs typeface="Arial"/>
            </a:rPr>
            <a:t>
You can check if you got the right solution by checking the values below.
                                                        Equal number    :    Linear deployment 
 Effective number of clones (</a:t>
          </a:r>
          <a:r>
            <a:rPr lang="en-US" cap="none" sz="1000" b="0" i="1" u="none" baseline="0">
              <a:latin typeface="Arial"/>
              <a:ea typeface="Arial"/>
              <a:cs typeface="Arial"/>
            </a:rPr>
            <a:t>N</a:t>
          </a:r>
          <a:r>
            <a:rPr lang="en-US" cap="none" sz="1000" b="0" i="1" u="none" baseline="-25000">
              <a:latin typeface="Arial"/>
              <a:ea typeface="Arial"/>
              <a:cs typeface="Arial"/>
            </a:rPr>
            <a:t>s</a:t>
          </a:r>
          <a:r>
            <a:rPr lang="en-US" cap="none" sz="1000" b="0" i="0" u="none" baseline="0">
              <a:latin typeface="Arial"/>
              <a:ea typeface="Arial"/>
              <a:cs typeface="Arial"/>
            </a:rPr>
            <a:t>)              30       60                30       60
 Genetic gain (given units)                    0.75     0.46             0.88    0.59
 Genetic gain (stand'z units)                 1.40     0.85             1.67    1.10
</a:t>
          </a:r>
          <a:r>
            <a:rPr lang="en-US" cap="none" sz="1000" b="1" i="0" u="none" baseline="0">
              <a:solidFill>
                <a:srgbClr val="FF0000"/>
              </a:solidFill>
              <a:latin typeface="Arial"/>
              <a:ea typeface="Arial"/>
              <a:cs typeface="Arial"/>
            </a:rPr>
            <a:t>&lt;Help&gt;</a:t>
          </a:r>
          <a:r>
            <a:rPr lang="en-US" cap="none" sz="1000" b="0" i="0" u="none" baseline="0">
              <a:latin typeface="Arial"/>
              <a:ea typeface="Arial"/>
              <a:cs typeface="Arial"/>
            </a:rPr>
            <a:t>
It is not possible to say how much better linear deployment is if the average BV of the candidates is not known. If that is 0 and clones are represented equally, the gain will be the average of the genetic values from selected clones. One method is to use standardized units which means that the average of genetic values of the candidates is 0 and the additive genetic variance is 1.
If you have an unequal number of ramets among clones in practice, you can use the customized column in the left worksheet to predict the genetic gain and diversity (</a:t>
          </a:r>
          <a:r>
            <a:rPr lang="en-US" cap="none" sz="1000" b="0" i="1" u="none" baseline="0">
              <a:latin typeface="Arial"/>
              <a:ea typeface="Arial"/>
              <a:cs typeface="Arial"/>
            </a:rPr>
            <a:t>N</a:t>
          </a:r>
          <a:r>
            <a:rPr lang="en-US" cap="none" sz="1000" b="0" i="1" u="none" baseline="-25000">
              <a:latin typeface="Arial"/>
              <a:ea typeface="Arial"/>
              <a:cs typeface="Arial"/>
            </a:rPr>
            <a:t>s</a:t>
          </a:r>
          <a:r>
            <a:rPr lang="en-US" cap="none" sz="10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12</xdr:row>
      <xdr:rowOff>152400</xdr:rowOff>
    </xdr:from>
    <xdr:to>
      <xdr:col>21</xdr:col>
      <xdr:colOff>66675</xdr:colOff>
      <xdr:row>32</xdr:row>
      <xdr:rowOff>0</xdr:rowOff>
    </xdr:to>
    <xdr:graphicFrame>
      <xdr:nvGraphicFramePr>
        <xdr:cNvPr id="1" name="Chart 1"/>
        <xdr:cNvGraphicFramePr/>
      </xdr:nvGraphicFramePr>
      <xdr:xfrm>
        <a:off x="5991225" y="2438400"/>
        <a:ext cx="4448175" cy="3086100"/>
      </xdr:xfrm>
      <a:graphic>
        <a:graphicData uri="http://schemas.openxmlformats.org/drawingml/2006/chart">
          <c:chart xmlns:c="http://schemas.openxmlformats.org/drawingml/2006/chart" r:id="rId1"/>
        </a:graphicData>
      </a:graphic>
    </xdr:graphicFrame>
    <xdr:clientData/>
  </xdr:twoCellAnchor>
  <xdr:twoCellAnchor>
    <xdr:from>
      <xdr:col>13</xdr:col>
      <xdr:colOff>76200</xdr:colOff>
      <xdr:row>35</xdr:row>
      <xdr:rowOff>57150</xdr:rowOff>
    </xdr:from>
    <xdr:to>
      <xdr:col>21</xdr:col>
      <xdr:colOff>447675</xdr:colOff>
      <xdr:row>39</xdr:row>
      <xdr:rowOff>123825</xdr:rowOff>
    </xdr:to>
    <xdr:sp>
      <xdr:nvSpPr>
        <xdr:cNvPr id="2" name="Text 4"/>
        <xdr:cNvSpPr txBox="1">
          <a:spLocks noChangeArrowheads="1"/>
        </xdr:cNvSpPr>
      </xdr:nvSpPr>
      <xdr:spPr>
        <a:xfrm>
          <a:off x="6257925" y="6067425"/>
          <a:ext cx="456247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You can use your own set of breeding and max ramet values!</a:t>
          </a:r>
          <a:r>
            <a:rPr lang="en-US" cap="none" sz="1000" b="0" i="0" u="none" baseline="0">
              <a:solidFill>
                <a:srgbClr val="FF00FF"/>
              </a:solidFill>
              <a:latin typeface="Arial"/>
              <a:ea typeface="Arial"/>
              <a:cs typeface="Arial"/>
            </a:rPr>
            <a:t>
Either you can type or glue them from a file. However, you have to adjust the number of rows.</a:t>
          </a:r>
        </a:p>
      </xdr:txBody>
    </xdr:sp>
    <xdr:clientData/>
  </xdr:twoCellAnchor>
  <xdr:twoCellAnchor>
    <xdr:from>
      <xdr:col>0</xdr:col>
      <xdr:colOff>247650</xdr:colOff>
      <xdr:row>20</xdr:row>
      <xdr:rowOff>142875</xdr:rowOff>
    </xdr:from>
    <xdr:to>
      <xdr:col>2</xdr:col>
      <xdr:colOff>571500</xdr:colOff>
      <xdr:row>29</xdr:row>
      <xdr:rowOff>9525</xdr:rowOff>
    </xdr:to>
    <xdr:sp>
      <xdr:nvSpPr>
        <xdr:cNvPr id="3" name="TextBox 39"/>
        <xdr:cNvSpPr txBox="1">
          <a:spLocks noChangeArrowheads="1"/>
        </xdr:cNvSpPr>
      </xdr:nvSpPr>
      <xdr:spPr>
        <a:xfrm>
          <a:off x="247650" y="3724275"/>
          <a:ext cx="1390650" cy="1323975"/>
        </a:xfrm>
        <a:prstGeom prst="rect">
          <a:avLst/>
        </a:prstGeom>
        <a:solidFill>
          <a:srgbClr val="A0E0E0">
            <a:alpha val="70000"/>
          </a:srgbClr>
        </a:solidFill>
        <a:ln w="9525" cmpd="sng">
          <a:solidFill>
            <a:srgbClr val="0000FF"/>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It is possible to change the input data by glueing or typing other values here (but make certain the number of rows is correct)</a:t>
          </a:r>
        </a:p>
      </xdr:txBody>
    </xdr:sp>
    <xdr:clientData/>
  </xdr:twoCellAnchor>
  <xdr:twoCellAnchor>
    <xdr:from>
      <xdr:col>9</xdr:col>
      <xdr:colOff>104775</xdr:colOff>
      <xdr:row>5</xdr:row>
      <xdr:rowOff>142875</xdr:rowOff>
    </xdr:from>
    <xdr:to>
      <xdr:col>16</xdr:col>
      <xdr:colOff>371475</xdr:colOff>
      <xdr:row>12</xdr:row>
      <xdr:rowOff>76200</xdr:rowOff>
    </xdr:to>
    <xdr:grpSp>
      <xdr:nvGrpSpPr>
        <xdr:cNvPr id="4" name="Group 40"/>
        <xdr:cNvGrpSpPr>
          <a:grpSpLocks/>
        </xdr:cNvGrpSpPr>
      </xdr:nvGrpSpPr>
      <xdr:grpSpPr>
        <a:xfrm>
          <a:off x="4352925" y="1181100"/>
          <a:ext cx="3343275" cy="1181100"/>
          <a:chOff x="451" y="142"/>
          <a:chExt cx="328" cy="124"/>
        </a:xfrm>
        <a:solidFill>
          <a:srgbClr val="FFFFFF"/>
        </a:solidFill>
      </xdr:grpSpPr>
      <xdr:sp>
        <xdr:nvSpPr>
          <xdr:cNvPr id="5" name="TextBox 41"/>
          <xdr:cNvSpPr txBox="1">
            <a:spLocks noChangeArrowheads="1"/>
          </xdr:cNvSpPr>
        </xdr:nvSpPr>
        <xdr:spPr>
          <a:xfrm>
            <a:off x="639" y="142"/>
            <a:ext cx="140" cy="124"/>
          </a:xfrm>
          <a:prstGeom prst="rect">
            <a:avLst/>
          </a:prstGeom>
          <a:solidFill>
            <a:srgbClr val="A0E0E0">
              <a:alpha val="70000"/>
            </a:srgbClr>
          </a:solidFill>
          <a:ln w="9525" cmpd="sng">
            <a:solidFill>
              <a:srgbClr val="0000FF"/>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It is possible to change the output (the thinning algorithm) by changing </a:t>
            </a:r>
            <a:r>
              <a:rPr lang="en-US" cap="none" sz="1000" b="1" i="0" u="none" baseline="0">
                <a:solidFill>
                  <a:srgbClr val="FF0000"/>
                </a:solidFill>
                <a:latin typeface="Arial"/>
                <a:ea typeface="Arial"/>
                <a:cs typeface="Arial"/>
              </a:rPr>
              <a:t>intercept</a:t>
            </a:r>
            <a:r>
              <a:rPr lang="en-US" cap="none" sz="1000" b="1" i="0" u="none" baseline="0">
                <a:solidFill>
                  <a:srgbClr val="008000"/>
                </a:solidFill>
                <a:latin typeface="Arial"/>
                <a:ea typeface="Arial"/>
                <a:cs typeface="Arial"/>
              </a:rPr>
              <a:t> and</a:t>
            </a:r>
            <a:r>
              <a:rPr lang="en-US" cap="none" sz="1000" b="1" i="0" u="none" baseline="0">
                <a:solidFill>
                  <a:srgbClr val="FF0000"/>
                </a:solidFill>
                <a:latin typeface="Arial"/>
                <a:ea typeface="Arial"/>
                <a:cs typeface="Arial"/>
              </a:rPr>
              <a:t> slope</a:t>
            </a:r>
            <a:r>
              <a:rPr lang="en-US" cap="none" sz="1000" b="1" i="0" u="none" baseline="0">
                <a:solidFill>
                  <a:srgbClr val="008000"/>
                </a:solidFill>
                <a:latin typeface="Arial"/>
                <a:ea typeface="Arial"/>
                <a:cs typeface="Arial"/>
              </a:rPr>
              <a:t>.</a:t>
            </a:r>
          </a:p>
        </xdr:txBody>
      </xdr:sp>
      <xdr:sp>
        <xdr:nvSpPr>
          <xdr:cNvPr id="6" name="Line 42"/>
          <xdr:cNvSpPr>
            <a:spLocks/>
          </xdr:cNvSpPr>
        </xdr:nvSpPr>
        <xdr:spPr>
          <a:xfrm flipH="1" flipV="1">
            <a:off x="451" y="222"/>
            <a:ext cx="243" cy="9"/>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13</xdr:row>
      <xdr:rowOff>152400</xdr:rowOff>
    </xdr:from>
    <xdr:to>
      <xdr:col>21</xdr:col>
      <xdr:colOff>66675</xdr:colOff>
      <xdr:row>33</xdr:row>
      <xdr:rowOff>142875</xdr:rowOff>
    </xdr:to>
    <xdr:graphicFrame>
      <xdr:nvGraphicFramePr>
        <xdr:cNvPr id="1" name="Chart 2"/>
        <xdr:cNvGraphicFramePr/>
      </xdr:nvGraphicFramePr>
      <xdr:xfrm>
        <a:off x="5676900" y="2581275"/>
        <a:ext cx="4448175" cy="3228975"/>
      </xdr:xfrm>
      <a:graphic>
        <a:graphicData uri="http://schemas.openxmlformats.org/drawingml/2006/chart">
          <c:chart xmlns:c="http://schemas.openxmlformats.org/drawingml/2006/chart" r:id="rId1"/>
        </a:graphicData>
      </a:graphic>
    </xdr:graphicFrame>
    <xdr:clientData/>
  </xdr:twoCellAnchor>
  <xdr:twoCellAnchor>
    <xdr:from>
      <xdr:col>13</xdr:col>
      <xdr:colOff>76200</xdr:colOff>
      <xdr:row>91</xdr:row>
      <xdr:rowOff>57150</xdr:rowOff>
    </xdr:from>
    <xdr:to>
      <xdr:col>21</xdr:col>
      <xdr:colOff>447675</xdr:colOff>
      <xdr:row>95</xdr:row>
      <xdr:rowOff>123825</xdr:rowOff>
    </xdr:to>
    <xdr:sp>
      <xdr:nvSpPr>
        <xdr:cNvPr id="2" name="Text 4"/>
        <xdr:cNvSpPr txBox="1">
          <a:spLocks noChangeArrowheads="1"/>
        </xdr:cNvSpPr>
      </xdr:nvSpPr>
      <xdr:spPr>
        <a:xfrm>
          <a:off x="5943600" y="15116175"/>
          <a:ext cx="456247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You can use your own set of breeding and max ramet values!</a:t>
          </a:r>
          <a:r>
            <a:rPr lang="en-US" cap="none" sz="1000" b="0" i="0" u="none" baseline="0">
              <a:solidFill>
                <a:srgbClr val="FF00FF"/>
              </a:solidFill>
              <a:latin typeface="Arial"/>
              <a:ea typeface="Arial"/>
              <a:cs typeface="Arial"/>
            </a:rPr>
            <a:t>
Either you can type or glue them from a file. However, you have to adjust the number of rows.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xdr:row>
      <xdr:rowOff>19050</xdr:rowOff>
    </xdr:from>
    <xdr:to>
      <xdr:col>12</xdr:col>
      <xdr:colOff>571500</xdr:colOff>
      <xdr:row>22</xdr:row>
      <xdr:rowOff>142875</xdr:rowOff>
    </xdr:to>
    <xdr:graphicFrame>
      <xdr:nvGraphicFramePr>
        <xdr:cNvPr id="1" name="Chart 1"/>
        <xdr:cNvGraphicFramePr/>
      </xdr:nvGraphicFramePr>
      <xdr:xfrm>
        <a:off x="3095625" y="695325"/>
        <a:ext cx="3781425" cy="3038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T84"/>
  <sheetViews>
    <sheetView showGridLines="0" workbookViewId="0" topLeftCell="A1">
      <selection activeCell="A1" sqref="A1"/>
    </sheetView>
  </sheetViews>
  <sheetFormatPr defaultColWidth="9.140625" defaultRowHeight="12.75"/>
  <sheetData>
    <row r="1" spans="11:20" ht="12.75">
      <c r="K1" s="14"/>
      <c r="L1" s="14"/>
      <c r="M1" s="14"/>
      <c r="N1" s="14"/>
      <c r="O1" s="14"/>
      <c r="P1" s="14"/>
      <c r="Q1" s="14"/>
      <c r="R1" s="14"/>
      <c r="S1" s="14"/>
      <c r="T1" s="14"/>
    </row>
    <row r="2" spans="1:20" ht="12.75">
      <c r="A2" s="169" t="s">
        <v>300</v>
      </c>
      <c r="B2" s="170" t="s">
        <v>301</v>
      </c>
      <c r="C2" s="170" t="s">
        <v>302</v>
      </c>
      <c r="D2" s="171" t="s">
        <v>303</v>
      </c>
      <c r="E2" s="171"/>
      <c r="F2" s="171" t="s">
        <v>304</v>
      </c>
      <c r="H2" s="170" t="s">
        <v>305</v>
      </c>
      <c r="I2" s="172" t="s">
        <v>318</v>
      </c>
      <c r="P2" s="14"/>
      <c r="Q2" s="14"/>
      <c r="R2" s="14"/>
      <c r="S2" s="14"/>
      <c r="T2" s="14"/>
    </row>
    <row r="3" spans="1:20" ht="12.75">
      <c r="A3" s="171" t="s">
        <v>317</v>
      </c>
      <c r="B3" s="170" t="s">
        <v>306</v>
      </c>
      <c r="C3" s="171"/>
      <c r="D3" s="170" t="s">
        <v>307</v>
      </c>
      <c r="E3" s="170"/>
      <c r="G3" s="171"/>
      <c r="H3" s="173" t="s">
        <v>308</v>
      </c>
      <c r="I3" s="174" t="s">
        <v>309</v>
      </c>
      <c r="J3" s="175" t="s">
        <v>309</v>
      </c>
      <c r="K3" s="176" t="s">
        <v>310</v>
      </c>
      <c r="L3" s="177" t="s">
        <v>310</v>
      </c>
      <c r="M3" s="178"/>
      <c r="N3" s="179" t="s">
        <v>309</v>
      </c>
      <c r="O3" s="180" t="s">
        <v>311</v>
      </c>
      <c r="P3" s="185"/>
      <c r="Q3" s="14"/>
      <c r="R3" s="14"/>
      <c r="S3" s="14"/>
      <c r="T3" s="14"/>
    </row>
    <row r="4" spans="11:20" ht="12.75">
      <c r="K4" s="14" t="s">
        <v>0</v>
      </c>
      <c r="L4" s="14"/>
      <c r="M4" s="14"/>
      <c r="N4" s="14"/>
      <c r="O4" s="14"/>
      <c r="P4" s="14"/>
      <c r="Q4" s="14"/>
      <c r="R4" s="14"/>
      <c r="S4" s="14"/>
      <c r="T4" s="14"/>
    </row>
    <row r="5" spans="11:20" ht="12.75" customHeight="1">
      <c r="K5" s="14"/>
      <c r="L5" s="14"/>
      <c r="M5" s="14"/>
      <c r="N5" s="14"/>
      <c r="O5" s="14"/>
      <c r="P5" s="14"/>
      <c r="Q5" s="14"/>
      <c r="R5" s="14"/>
      <c r="S5" s="14"/>
      <c r="T5" s="14"/>
    </row>
    <row r="6" spans="11:20" ht="12.75">
      <c r="K6" s="14"/>
      <c r="L6" s="14"/>
      <c r="M6" s="14"/>
      <c r="N6" s="14"/>
      <c r="O6" s="14"/>
      <c r="P6" s="14"/>
      <c r="Q6" s="14"/>
      <c r="R6" s="14"/>
      <c r="S6" s="14"/>
      <c r="T6" s="14"/>
    </row>
    <row r="7" spans="11:20" ht="12.75">
      <c r="K7" s="14" t="s">
        <v>146</v>
      </c>
      <c r="L7" s="14"/>
      <c r="M7" s="14"/>
      <c r="N7" s="14"/>
      <c r="O7" s="14"/>
      <c r="P7" s="14"/>
      <c r="Q7" s="14"/>
      <c r="R7" s="14"/>
      <c r="S7" s="14"/>
      <c r="T7" s="14"/>
    </row>
    <row r="8" spans="11:20" ht="12.75">
      <c r="K8" t="s">
        <v>1</v>
      </c>
      <c r="L8" s="14"/>
      <c r="M8" s="14"/>
      <c r="N8" s="14"/>
      <c r="O8" s="14"/>
      <c r="P8" s="14"/>
      <c r="Q8" s="14"/>
      <c r="S8" s="14"/>
      <c r="T8" s="14"/>
    </row>
    <row r="9" spans="11:20" ht="12.75">
      <c r="K9" s="14"/>
      <c r="L9" s="14"/>
      <c r="M9" s="14"/>
      <c r="N9" s="14"/>
      <c r="O9" s="14"/>
      <c r="P9" s="14"/>
      <c r="Q9" s="14"/>
      <c r="R9" s="14"/>
      <c r="S9" s="14"/>
      <c r="T9" s="14"/>
    </row>
    <row r="10" spans="3:20" ht="12.75">
      <c r="C10" s="24"/>
      <c r="L10" s="14"/>
      <c r="M10" s="14"/>
      <c r="N10" s="14"/>
      <c r="O10" s="14"/>
      <c r="P10" s="14"/>
      <c r="Q10" s="14"/>
      <c r="R10" s="14"/>
      <c r="S10" s="14"/>
      <c r="T10" s="14"/>
    </row>
    <row r="11" spans="11:20" ht="12.75">
      <c r="K11" s="14"/>
      <c r="L11" s="14"/>
      <c r="M11" s="14"/>
      <c r="N11" s="14"/>
      <c r="O11" s="14"/>
      <c r="P11" s="14"/>
      <c r="Q11" s="14"/>
      <c r="R11" s="14"/>
      <c r="S11" s="14"/>
      <c r="T11" s="14"/>
    </row>
    <row r="12" spans="11:20" ht="12.75">
      <c r="K12" s="14"/>
      <c r="L12" s="14"/>
      <c r="M12" s="14"/>
      <c r="N12" s="14"/>
      <c r="O12" s="14"/>
      <c r="P12" s="14"/>
      <c r="Q12" s="14"/>
      <c r="R12" s="14"/>
      <c r="S12" s="14"/>
      <c r="T12" s="14"/>
    </row>
    <row r="13" spans="11:20" ht="12.75">
      <c r="K13" s="14"/>
      <c r="L13" s="14"/>
      <c r="M13" s="14"/>
      <c r="N13" s="14"/>
      <c r="O13" s="14"/>
      <c r="P13" s="14"/>
      <c r="Q13" s="14"/>
      <c r="R13" s="14"/>
      <c r="S13" s="14"/>
      <c r="T13" s="14"/>
    </row>
    <row r="14" spans="11:20" ht="12.75">
      <c r="K14" s="14"/>
      <c r="L14" s="14"/>
      <c r="M14" s="14"/>
      <c r="N14" s="14"/>
      <c r="O14" s="14"/>
      <c r="P14" s="14"/>
      <c r="Q14" s="14"/>
      <c r="R14" s="14"/>
      <c r="S14" s="14"/>
      <c r="T14" s="14"/>
    </row>
    <row r="15" spans="11:20" ht="12.75">
      <c r="K15" s="14"/>
      <c r="L15" s="14"/>
      <c r="M15" s="14"/>
      <c r="N15" s="14"/>
      <c r="O15" s="14"/>
      <c r="P15" s="14"/>
      <c r="Q15" s="14"/>
      <c r="R15" s="14"/>
      <c r="S15" s="14"/>
      <c r="T15" s="14"/>
    </row>
    <row r="16" spans="12:20" ht="12.75">
      <c r="L16" s="14"/>
      <c r="M16" s="14"/>
      <c r="N16" s="14"/>
      <c r="O16" s="14"/>
      <c r="P16" s="14"/>
      <c r="Q16" s="14"/>
      <c r="R16" s="14"/>
      <c r="S16" s="14"/>
      <c r="T16" s="14"/>
    </row>
    <row r="17" spans="12:20" ht="12.75">
      <c r="L17" s="14"/>
      <c r="M17" s="14"/>
      <c r="N17" s="14"/>
      <c r="O17" s="14"/>
      <c r="P17" s="14"/>
      <c r="Q17" s="14"/>
      <c r="R17" s="14"/>
      <c r="S17" s="14"/>
      <c r="T17" s="14"/>
    </row>
    <row r="18" spans="11:20" ht="12.75">
      <c r="K18" s="14"/>
      <c r="L18" s="14"/>
      <c r="M18" s="14"/>
      <c r="N18" s="14"/>
      <c r="O18" s="14"/>
      <c r="P18" s="14"/>
      <c r="Q18" s="14"/>
      <c r="R18" s="14"/>
      <c r="S18" s="14"/>
      <c r="T18" s="14"/>
    </row>
    <row r="19" spans="11:20" ht="12.75">
      <c r="K19" s="14"/>
      <c r="L19" s="14"/>
      <c r="M19" s="14"/>
      <c r="N19" s="14"/>
      <c r="O19" s="14"/>
      <c r="P19" s="14"/>
      <c r="Q19" s="14"/>
      <c r="R19" s="14"/>
      <c r="S19" s="14"/>
      <c r="T19" s="14"/>
    </row>
    <row r="30" ht="12" customHeight="1"/>
    <row r="44" ht="12.75">
      <c r="A44" s="26" t="s">
        <v>2</v>
      </c>
    </row>
    <row r="45" ht="12.75">
      <c r="A45" t="s">
        <v>135</v>
      </c>
    </row>
    <row r="46" ht="15.75">
      <c r="A46" t="s">
        <v>136</v>
      </c>
    </row>
    <row r="47" ht="12.75">
      <c r="A47" t="s">
        <v>4</v>
      </c>
    </row>
    <row r="48" spans="1:5" ht="15.75">
      <c r="A48" t="s">
        <v>5</v>
      </c>
      <c r="E48" s="52"/>
    </row>
    <row r="49" ht="12.75">
      <c r="A49" s="14" t="s">
        <v>137</v>
      </c>
    </row>
    <row r="50" ht="12.75">
      <c r="A50" s="14" t="s">
        <v>6</v>
      </c>
    </row>
    <row r="51" ht="12.75">
      <c r="A51" s="13" t="s">
        <v>138</v>
      </c>
    </row>
    <row r="52" ht="15.75">
      <c r="A52" t="s">
        <v>7</v>
      </c>
    </row>
    <row r="53" ht="15.75">
      <c r="A53" t="s">
        <v>8</v>
      </c>
    </row>
    <row r="54" ht="12.75">
      <c r="A54" t="s">
        <v>139</v>
      </c>
    </row>
    <row r="55" ht="15.75">
      <c r="A55" t="s">
        <v>140</v>
      </c>
    </row>
    <row r="56" ht="12.75">
      <c r="A56" s="71" t="s">
        <v>141</v>
      </c>
    </row>
    <row r="57" ht="12.75">
      <c r="A57" s="27"/>
    </row>
    <row r="58" ht="12.75">
      <c r="A58" s="28"/>
    </row>
    <row r="59" ht="12.75">
      <c r="A59" s="28"/>
    </row>
    <row r="60" ht="12.75">
      <c r="A60" s="28"/>
    </row>
    <row r="61" ht="12.75">
      <c r="A61" s="28"/>
    </row>
    <row r="62" ht="12.75">
      <c r="A62" s="29"/>
    </row>
    <row r="63" ht="12.75">
      <c r="A63" s="29"/>
    </row>
    <row r="64" ht="12.75">
      <c r="A64" s="28"/>
    </row>
    <row r="65" ht="12.75">
      <c r="A65" s="28"/>
    </row>
    <row r="66" ht="12.75">
      <c r="A66" s="25"/>
    </row>
    <row r="67" ht="12.75">
      <c r="A67" s="25"/>
    </row>
    <row r="68" ht="12.75">
      <c r="A68" s="25"/>
    </row>
    <row r="79" ht="12.75">
      <c r="A79" s="25"/>
    </row>
    <row r="80" ht="12.75">
      <c r="A80" s="25"/>
    </row>
    <row r="81" ht="12.75">
      <c r="A81" s="25"/>
    </row>
    <row r="82" ht="12.75">
      <c r="A82" s="25"/>
    </row>
    <row r="83" ht="12.75">
      <c r="A83" s="25"/>
    </row>
    <row r="84" ht="12.75">
      <c r="A84" s="25"/>
    </row>
  </sheetData>
  <printOptions/>
  <pageMargins left="0.75" right="0.75" top="1" bottom="1" header="0.5" footer="0.5"/>
  <pageSetup horizontalDpi="600" verticalDpi="600" orientation="portrait" paperSize="9" r:id="rId8"/>
  <headerFooter alignWithMargins="0">
    <oddHeader>&amp;C&amp;A</oddHeader>
    <oddFooter>&amp;CPage &amp;P</oddFooter>
  </headerFooter>
  <drawing r:id="rId7"/>
  <legacyDrawing r:id="rId6"/>
  <oleObjects>
    <oleObject progId="Equation.2" shapeId="23597682" r:id="rId2"/>
    <oleObject progId="Equation" shapeId="23597686" r:id="rId3"/>
    <oleObject progId="Equation.2" shapeId="23597687" r:id="rId4"/>
    <oleObject progId="Equation.3" shapeId="928817" r:id="rId5"/>
  </oleObjects>
</worksheet>
</file>

<file path=xl/worksheets/sheet2.xml><?xml version="1.0" encoding="utf-8"?>
<worksheet xmlns="http://schemas.openxmlformats.org/spreadsheetml/2006/main" xmlns:r="http://schemas.openxmlformats.org/officeDocument/2006/relationships">
  <sheetPr codeName="Sheet7"/>
  <dimension ref="B1:O52"/>
  <sheetViews>
    <sheetView workbookViewId="0" topLeftCell="A1">
      <selection activeCell="G11" sqref="G11"/>
    </sheetView>
  </sheetViews>
  <sheetFormatPr defaultColWidth="9.140625" defaultRowHeight="12.75"/>
  <cols>
    <col min="3" max="3" width="9.140625" style="166" customWidth="1"/>
    <col min="4" max="4" width="9.57421875" style="165" customWidth="1"/>
    <col min="5" max="5" width="9.140625" style="167" customWidth="1"/>
  </cols>
  <sheetData>
    <row r="1" spans="2:5" ht="12.75">
      <c r="B1" t="s">
        <v>315</v>
      </c>
      <c r="C1" s="168" t="s">
        <v>131</v>
      </c>
      <c r="D1" s="168" t="s">
        <v>299</v>
      </c>
      <c r="E1" s="180">
        <f>SUM(E2:E51)</f>
        <v>280</v>
      </c>
    </row>
    <row r="2" spans="2:5" ht="12.75">
      <c r="B2" s="187">
        <v>30</v>
      </c>
      <c r="C2" s="188">
        <v>100</v>
      </c>
      <c r="D2" s="189">
        <f>E2/E$1</f>
        <v>0.25</v>
      </c>
      <c r="E2" s="180">
        <f>MAX(C2-B$2,0)</f>
        <v>70</v>
      </c>
    </row>
    <row r="3" spans="3:15" ht="12.75">
      <c r="C3" s="188">
        <v>90</v>
      </c>
      <c r="D3" s="189">
        <f aca="true" t="shared" si="0" ref="D3:D51">E3/E$1</f>
        <v>0.21428571428571427</v>
      </c>
      <c r="E3" s="180">
        <f aca="true" t="shared" si="1" ref="E3:E51">MAX(C3-B$2,0)</f>
        <v>60</v>
      </c>
      <c r="O3" s="191"/>
    </row>
    <row r="4" spans="2:5" ht="12.75">
      <c r="B4" s="190">
        <f>1/SUMSQ(D2:D51)</f>
        <v>5.6000000000000005</v>
      </c>
      <c r="C4" s="188">
        <v>80</v>
      </c>
      <c r="D4" s="189">
        <f t="shared" si="0"/>
        <v>0.17857142857142858</v>
      </c>
      <c r="E4" s="180">
        <f t="shared" si="1"/>
        <v>50</v>
      </c>
    </row>
    <row r="5" spans="3:5" ht="12.75">
      <c r="C5" s="188">
        <v>70</v>
      </c>
      <c r="D5" s="189">
        <f t="shared" si="0"/>
        <v>0.14285714285714285</v>
      </c>
      <c r="E5" s="180">
        <f t="shared" si="1"/>
        <v>40</v>
      </c>
    </row>
    <row r="6" spans="3:5" ht="12.75">
      <c r="C6" s="188">
        <v>60</v>
      </c>
      <c r="D6" s="189">
        <f t="shared" si="0"/>
        <v>0.10714285714285714</v>
      </c>
      <c r="E6" s="180">
        <f t="shared" si="1"/>
        <v>30</v>
      </c>
    </row>
    <row r="7" spans="3:5" ht="12.75">
      <c r="C7" s="188">
        <v>50</v>
      </c>
      <c r="D7" s="189">
        <f t="shared" si="0"/>
        <v>0.07142857142857142</v>
      </c>
      <c r="E7" s="180">
        <f t="shared" si="1"/>
        <v>20</v>
      </c>
    </row>
    <row r="8" spans="3:5" ht="12.75">
      <c r="C8" s="188">
        <v>40</v>
      </c>
      <c r="D8" s="189">
        <f t="shared" si="0"/>
        <v>0.03571428571428571</v>
      </c>
      <c r="E8" s="180">
        <f t="shared" si="1"/>
        <v>10</v>
      </c>
    </row>
    <row r="9" spans="3:5" ht="12.75">
      <c r="C9" s="188">
        <v>30</v>
      </c>
      <c r="D9" s="189">
        <f t="shared" si="0"/>
        <v>0</v>
      </c>
      <c r="E9" s="180">
        <f t="shared" si="1"/>
        <v>0</v>
      </c>
    </row>
    <row r="10" spans="3:5" ht="12.75">
      <c r="C10" s="188">
        <v>20</v>
      </c>
      <c r="D10" s="189">
        <f t="shared" si="0"/>
        <v>0</v>
      </c>
      <c r="E10" s="180">
        <f t="shared" si="1"/>
        <v>0</v>
      </c>
    </row>
    <row r="11" spans="3:5" ht="12.75">
      <c r="C11" s="188">
        <v>10</v>
      </c>
      <c r="D11" s="189">
        <f t="shared" si="0"/>
        <v>0</v>
      </c>
      <c r="E11" s="180">
        <f t="shared" si="1"/>
        <v>0</v>
      </c>
    </row>
    <row r="12" spans="3:5" ht="12.75">
      <c r="C12" s="188">
        <v>0</v>
      </c>
      <c r="D12" s="189">
        <f t="shared" si="0"/>
        <v>0</v>
      </c>
      <c r="E12" s="180">
        <f t="shared" si="1"/>
        <v>0</v>
      </c>
    </row>
    <row r="13" spans="3:5" ht="12.75">
      <c r="C13" s="188"/>
      <c r="D13" s="189">
        <f t="shared" si="0"/>
        <v>0</v>
      </c>
      <c r="E13" s="180">
        <f t="shared" si="1"/>
        <v>0</v>
      </c>
    </row>
    <row r="14" spans="3:5" ht="12.75">
      <c r="C14" s="188"/>
      <c r="D14" s="189">
        <f t="shared" si="0"/>
        <v>0</v>
      </c>
      <c r="E14" s="180">
        <f t="shared" si="1"/>
        <v>0</v>
      </c>
    </row>
    <row r="15" spans="3:5" ht="12.75">
      <c r="C15" s="188"/>
      <c r="D15" s="189">
        <f t="shared" si="0"/>
        <v>0</v>
      </c>
      <c r="E15" s="180">
        <f t="shared" si="1"/>
        <v>0</v>
      </c>
    </row>
    <row r="16" spans="3:5" ht="12.75">
      <c r="C16" s="188"/>
      <c r="D16" s="189">
        <f t="shared" si="0"/>
        <v>0</v>
      </c>
      <c r="E16" s="180">
        <f t="shared" si="1"/>
        <v>0</v>
      </c>
    </row>
    <row r="17" spans="3:5" ht="12.75">
      <c r="C17" s="188"/>
      <c r="D17" s="189">
        <f t="shared" si="0"/>
        <v>0</v>
      </c>
      <c r="E17" s="180">
        <f t="shared" si="1"/>
        <v>0</v>
      </c>
    </row>
    <row r="18" spans="3:5" ht="12.75">
      <c r="C18" s="188"/>
      <c r="D18" s="189">
        <f t="shared" si="0"/>
        <v>0</v>
      </c>
      <c r="E18" s="180">
        <f t="shared" si="1"/>
        <v>0</v>
      </c>
    </row>
    <row r="19" spans="3:5" ht="12.75">
      <c r="C19" s="188"/>
      <c r="D19" s="189">
        <f t="shared" si="0"/>
        <v>0</v>
      </c>
      <c r="E19" s="180">
        <f t="shared" si="1"/>
        <v>0</v>
      </c>
    </row>
    <row r="20" spans="3:5" ht="12.75">
      <c r="C20" s="188"/>
      <c r="D20" s="189">
        <f t="shared" si="0"/>
        <v>0</v>
      </c>
      <c r="E20" s="180">
        <f t="shared" si="1"/>
        <v>0</v>
      </c>
    </row>
    <row r="21" spans="3:5" ht="12.75">
      <c r="C21" s="188"/>
      <c r="D21" s="189">
        <f t="shared" si="0"/>
        <v>0</v>
      </c>
      <c r="E21" s="180">
        <f t="shared" si="1"/>
        <v>0</v>
      </c>
    </row>
    <row r="22" spans="3:5" ht="12.75">
      <c r="C22" s="188"/>
      <c r="D22" s="189">
        <f t="shared" si="0"/>
        <v>0</v>
      </c>
      <c r="E22" s="180">
        <f t="shared" si="1"/>
        <v>0</v>
      </c>
    </row>
    <row r="23" spans="3:5" ht="12.75">
      <c r="C23" s="188"/>
      <c r="D23" s="189">
        <f t="shared" si="0"/>
        <v>0</v>
      </c>
      <c r="E23" s="180">
        <f t="shared" si="1"/>
        <v>0</v>
      </c>
    </row>
    <row r="24" spans="3:5" ht="12.75">
      <c r="C24" s="188"/>
      <c r="D24" s="189">
        <f t="shared" si="0"/>
        <v>0</v>
      </c>
      <c r="E24" s="180">
        <f t="shared" si="1"/>
        <v>0</v>
      </c>
    </row>
    <row r="25" spans="3:5" ht="12.75">
      <c r="C25" s="188"/>
      <c r="D25" s="189">
        <f t="shared" si="0"/>
        <v>0</v>
      </c>
      <c r="E25" s="180">
        <f t="shared" si="1"/>
        <v>0</v>
      </c>
    </row>
    <row r="26" spans="3:5" ht="12.75">
      <c r="C26" s="188"/>
      <c r="D26" s="189">
        <f t="shared" si="0"/>
        <v>0</v>
      </c>
      <c r="E26" s="180">
        <f t="shared" si="1"/>
        <v>0</v>
      </c>
    </row>
    <row r="27" spans="3:5" ht="12.75">
      <c r="C27" s="188"/>
      <c r="D27" s="189">
        <f t="shared" si="0"/>
        <v>0</v>
      </c>
      <c r="E27" s="180">
        <f t="shared" si="1"/>
        <v>0</v>
      </c>
    </row>
    <row r="28" spans="3:5" ht="12.75">
      <c r="C28" s="188"/>
      <c r="D28" s="189">
        <f t="shared" si="0"/>
        <v>0</v>
      </c>
      <c r="E28" s="180">
        <f t="shared" si="1"/>
        <v>0</v>
      </c>
    </row>
    <row r="29" spans="3:5" ht="12.75">
      <c r="C29" s="188"/>
      <c r="D29" s="189">
        <f t="shared" si="0"/>
        <v>0</v>
      </c>
      <c r="E29" s="180">
        <f t="shared" si="1"/>
        <v>0</v>
      </c>
    </row>
    <row r="30" spans="3:5" ht="12.75">
      <c r="C30" s="188"/>
      <c r="D30" s="189">
        <f t="shared" si="0"/>
        <v>0</v>
      </c>
      <c r="E30" s="180">
        <f t="shared" si="1"/>
        <v>0</v>
      </c>
    </row>
    <row r="31" spans="3:5" ht="12.75">
      <c r="C31" s="188"/>
      <c r="D31" s="189">
        <f t="shared" si="0"/>
        <v>0</v>
      </c>
      <c r="E31" s="180">
        <f t="shared" si="1"/>
        <v>0</v>
      </c>
    </row>
    <row r="32" spans="3:5" ht="12.75">
      <c r="C32" s="188"/>
      <c r="D32" s="189">
        <f t="shared" si="0"/>
        <v>0</v>
      </c>
      <c r="E32" s="180">
        <f t="shared" si="1"/>
        <v>0</v>
      </c>
    </row>
    <row r="33" spans="3:5" ht="12.75">
      <c r="C33" s="188"/>
      <c r="D33" s="189">
        <f t="shared" si="0"/>
        <v>0</v>
      </c>
      <c r="E33" s="180">
        <f t="shared" si="1"/>
        <v>0</v>
      </c>
    </row>
    <row r="34" spans="3:5" ht="12.75">
      <c r="C34" s="188"/>
      <c r="D34" s="189">
        <f t="shared" si="0"/>
        <v>0</v>
      </c>
      <c r="E34" s="180">
        <f t="shared" si="1"/>
        <v>0</v>
      </c>
    </row>
    <row r="35" spans="3:5" ht="12.75">
      <c r="C35" s="188"/>
      <c r="D35" s="189">
        <f t="shared" si="0"/>
        <v>0</v>
      </c>
      <c r="E35" s="180">
        <f t="shared" si="1"/>
        <v>0</v>
      </c>
    </row>
    <row r="36" spans="3:5" ht="12.75">
      <c r="C36" s="188"/>
      <c r="D36" s="189">
        <f t="shared" si="0"/>
        <v>0</v>
      </c>
      <c r="E36" s="180">
        <f t="shared" si="1"/>
        <v>0</v>
      </c>
    </row>
    <row r="37" spans="3:5" ht="12.75">
      <c r="C37" s="188"/>
      <c r="D37" s="189">
        <f t="shared" si="0"/>
        <v>0</v>
      </c>
      <c r="E37" s="180">
        <f t="shared" si="1"/>
        <v>0</v>
      </c>
    </row>
    <row r="38" spans="3:5" ht="12.75">
      <c r="C38" s="188"/>
      <c r="D38" s="189">
        <f t="shared" si="0"/>
        <v>0</v>
      </c>
      <c r="E38" s="180">
        <f t="shared" si="1"/>
        <v>0</v>
      </c>
    </row>
    <row r="39" spans="3:5" ht="12.75">
      <c r="C39" s="188"/>
      <c r="D39" s="189">
        <f t="shared" si="0"/>
        <v>0</v>
      </c>
      <c r="E39" s="180">
        <f t="shared" si="1"/>
        <v>0</v>
      </c>
    </row>
    <row r="40" spans="3:5" ht="12.75">
      <c r="C40" s="188"/>
      <c r="D40" s="189">
        <f t="shared" si="0"/>
        <v>0</v>
      </c>
      <c r="E40" s="180">
        <f t="shared" si="1"/>
        <v>0</v>
      </c>
    </row>
    <row r="41" spans="3:5" ht="12.75">
      <c r="C41" s="188"/>
      <c r="D41" s="189">
        <f t="shared" si="0"/>
        <v>0</v>
      </c>
      <c r="E41" s="180">
        <f t="shared" si="1"/>
        <v>0</v>
      </c>
    </row>
    <row r="42" spans="3:5" ht="12.75">
      <c r="C42" s="188"/>
      <c r="D42" s="189">
        <f t="shared" si="0"/>
        <v>0</v>
      </c>
      <c r="E42" s="180">
        <f t="shared" si="1"/>
        <v>0</v>
      </c>
    </row>
    <row r="43" spans="3:5" ht="12.75">
      <c r="C43" s="188"/>
      <c r="D43" s="189">
        <f t="shared" si="0"/>
        <v>0</v>
      </c>
      <c r="E43" s="180">
        <f t="shared" si="1"/>
        <v>0</v>
      </c>
    </row>
    <row r="44" spans="3:5" ht="12.75">
      <c r="C44" s="188"/>
      <c r="D44" s="189">
        <f t="shared" si="0"/>
        <v>0</v>
      </c>
      <c r="E44" s="180">
        <f t="shared" si="1"/>
        <v>0</v>
      </c>
    </row>
    <row r="45" spans="3:5" ht="12.75">
      <c r="C45" s="188"/>
      <c r="D45" s="189">
        <f t="shared" si="0"/>
        <v>0</v>
      </c>
      <c r="E45" s="180">
        <f t="shared" si="1"/>
        <v>0</v>
      </c>
    </row>
    <row r="46" spans="3:5" ht="12.75">
      <c r="C46" s="188"/>
      <c r="D46" s="189">
        <f t="shared" si="0"/>
        <v>0</v>
      </c>
      <c r="E46" s="180">
        <f t="shared" si="1"/>
        <v>0</v>
      </c>
    </row>
    <row r="47" spans="3:5" ht="12.75">
      <c r="C47" s="188"/>
      <c r="D47" s="189">
        <f t="shared" si="0"/>
        <v>0</v>
      </c>
      <c r="E47" s="180">
        <f t="shared" si="1"/>
        <v>0</v>
      </c>
    </row>
    <row r="48" spans="3:5" ht="12.75">
      <c r="C48" s="188"/>
      <c r="D48" s="189">
        <f t="shared" si="0"/>
        <v>0</v>
      </c>
      <c r="E48" s="180">
        <f t="shared" si="1"/>
        <v>0</v>
      </c>
    </row>
    <row r="49" spans="3:5" ht="12.75">
      <c r="C49" s="188"/>
      <c r="D49" s="189">
        <f t="shared" si="0"/>
        <v>0</v>
      </c>
      <c r="E49" s="180">
        <f t="shared" si="1"/>
        <v>0</v>
      </c>
    </row>
    <row r="50" spans="3:5" ht="12.75">
      <c r="C50" s="188"/>
      <c r="D50" s="189">
        <f t="shared" si="0"/>
        <v>0</v>
      </c>
      <c r="E50" s="180">
        <f t="shared" si="1"/>
        <v>0</v>
      </c>
    </row>
    <row r="51" spans="3:5" ht="12.75">
      <c r="C51" s="188"/>
      <c r="D51" s="189">
        <f t="shared" si="0"/>
        <v>0</v>
      </c>
      <c r="E51" s="180">
        <f t="shared" si="1"/>
        <v>0</v>
      </c>
    </row>
    <row r="52" ht="12.75">
      <c r="C52"/>
    </row>
    <row r="53" ht="12.75"/>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N54"/>
  <sheetViews>
    <sheetView workbookViewId="0" topLeftCell="A1">
      <selection activeCell="B2" sqref="B2"/>
    </sheetView>
  </sheetViews>
  <sheetFormatPr defaultColWidth="9.140625" defaultRowHeight="12.75"/>
  <cols>
    <col min="1" max="1" width="7.7109375" style="1" customWidth="1"/>
    <col min="2" max="2" width="3.8515625" style="1" customWidth="1"/>
    <col min="3" max="3" width="5.57421875" style="1" customWidth="1"/>
    <col min="4" max="4" width="5.8515625" style="1" customWidth="1"/>
    <col min="5" max="5" width="7.140625" style="1" customWidth="1"/>
    <col min="6" max="6" width="6.421875" style="1" customWidth="1"/>
    <col min="7" max="7" width="5.7109375" style="1" customWidth="1"/>
    <col min="8" max="8" width="7.7109375" style="1" customWidth="1"/>
    <col min="9" max="9" width="14.00390625" style="1" customWidth="1"/>
    <col min="10" max="12" width="9.140625" style="1" customWidth="1"/>
    <col min="13" max="13" width="13.8515625" style="1" customWidth="1"/>
    <col min="14" max="16384" width="9.140625" style="1" customWidth="1"/>
  </cols>
  <sheetData>
    <row r="1" spans="1:2" ht="24" customHeight="1">
      <c r="A1" s="6"/>
      <c r="B1" s="6"/>
    </row>
    <row r="2" spans="1:2" ht="12.75">
      <c r="A2" s="6" t="s">
        <v>9</v>
      </c>
      <c r="B2" s="6"/>
    </row>
    <row r="3" spans="1:12" ht="12.75">
      <c r="A3" s="6" t="s">
        <v>10</v>
      </c>
      <c r="B3" s="6"/>
      <c r="K3"/>
      <c r="L3"/>
    </row>
    <row r="4" spans="1:12" ht="12.75">
      <c r="A4" s="6" t="s">
        <v>11</v>
      </c>
      <c r="B4" s="6"/>
      <c r="K4"/>
      <c r="L4"/>
    </row>
    <row r="5" spans="1:12" ht="12.75">
      <c r="A5" s="6" t="s">
        <v>12</v>
      </c>
      <c r="B5" s="6"/>
      <c r="K5" s="6"/>
      <c r="L5"/>
    </row>
    <row r="6" spans="1:2" ht="12.75">
      <c r="A6" s="6" t="s">
        <v>13</v>
      </c>
      <c r="B6" s="6"/>
    </row>
    <row r="7" spans="1:13" ht="12.75">
      <c r="A7" s="45" t="s">
        <v>14</v>
      </c>
      <c r="B7" s="8"/>
      <c r="C7" s="10"/>
      <c r="D7" s="10"/>
      <c r="E7" s="10"/>
      <c r="F7" s="10"/>
      <c r="G7" s="10"/>
      <c r="H7" s="10"/>
      <c r="I7" s="10"/>
      <c r="J7" s="9" t="s">
        <v>15</v>
      </c>
      <c r="K7" s="10"/>
      <c r="L7" s="10"/>
      <c r="M7" s="10"/>
    </row>
    <row r="8" spans="1:2" ht="12.75">
      <c r="A8" s="6" t="s">
        <v>16</v>
      </c>
      <c r="B8" s="6"/>
    </row>
    <row r="9" spans="1:4" ht="14.25">
      <c r="A9" s="13"/>
      <c r="B9" s="6" t="s">
        <v>17</v>
      </c>
      <c r="D9" s="6" t="s">
        <v>18</v>
      </c>
    </row>
    <row r="10" spans="1:6" s="14" customFormat="1" ht="12" customHeight="1">
      <c r="A10"/>
      <c r="B10"/>
      <c r="C10" s="6" t="s">
        <v>19</v>
      </c>
      <c r="D10"/>
      <c r="E10"/>
      <c r="F10"/>
    </row>
    <row r="11" spans="1:14" ht="26.25" customHeight="1">
      <c r="A11" s="1" t="s">
        <v>20</v>
      </c>
      <c r="B11" s="54" t="s">
        <v>21</v>
      </c>
      <c r="C11" s="55" t="s">
        <v>22</v>
      </c>
      <c r="D11" s="55" t="s">
        <v>23</v>
      </c>
      <c r="E11" s="55" t="s">
        <v>24</v>
      </c>
      <c r="F11" s="56" t="s">
        <v>25</v>
      </c>
      <c r="G11" s="17" t="s">
        <v>26</v>
      </c>
      <c r="H11" s="45">
        <v>6</v>
      </c>
      <c r="I11" s="7" t="s">
        <v>27</v>
      </c>
      <c r="J11" s="7" t="s">
        <v>28</v>
      </c>
      <c r="K11" s="9">
        <f>1/H11</f>
        <v>0.16666666666666666</v>
      </c>
      <c r="M11"/>
      <c r="N11"/>
    </row>
    <row r="12" spans="1:7" ht="14.25">
      <c r="A12" s="57" t="s">
        <v>29</v>
      </c>
      <c r="B12" s="78">
        <v>1</v>
      </c>
      <c r="C12" s="58">
        <v>1.7347167034584254</v>
      </c>
      <c r="D12" s="59">
        <f aca="true" t="shared" si="0" ref="D12:D47">IF(B12&lt;=$H$11,1/$H$11,0)</f>
        <v>0.16666666666666666</v>
      </c>
      <c r="E12" s="60">
        <f>D12*D12</f>
        <v>0.027777777777777776</v>
      </c>
      <c r="F12" s="60">
        <f>D12*C12</f>
        <v>0.2891194505764042</v>
      </c>
      <c r="G12" s="6" t="s">
        <v>30</v>
      </c>
    </row>
    <row r="13" spans="1:7" ht="14.25">
      <c r="A13" s="1" t="s">
        <v>31</v>
      </c>
      <c r="B13" s="79">
        <f>B12+1</f>
        <v>2</v>
      </c>
      <c r="C13" s="11">
        <v>1.669970566593083</v>
      </c>
      <c r="D13" s="12">
        <f t="shared" si="0"/>
        <v>0.16666666666666666</v>
      </c>
      <c r="E13" s="15">
        <f aca="true" t="shared" si="1" ref="E13:E28">D13*D13</f>
        <v>0.027777777777777776</v>
      </c>
      <c r="F13" s="15">
        <f aca="true" t="shared" si="2" ref="F13:F28">D13*C13</f>
        <v>0.2783284277655138</v>
      </c>
      <c r="G13" s="6" t="s">
        <v>32</v>
      </c>
    </row>
    <row r="14" spans="1:7" ht="14.25">
      <c r="A14" s="1" t="s">
        <v>33</v>
      </c>
      <c r="B14" s="79">
        <f aca="true" t="shared" si="3" ref="B14:B29">B13+1</f>
        <v>3</v>
      </c>
      <c r="C14" s="11">
        <v>1.566990434142752</v>
      </c>
      <c r="D14" s="12">
        <f t="shared" si="0"/>
        <v>0.16666666666666666</v>
      </c>
      <c r="E14" s="15">
        <f t="shared" si="1"/>
        <v>0.027777777777777776</v>
      </c>
      <c r="F14" s="15">
        <f t="shared" si="2"/>
        <v>0.2611650723571253</v>
      </c>
      <c r="G14" s="6" t="s">
        <v>134</v>
      </c>
    </row>
    <row r="15" spans="1:11" ht="12.75">
      <c r="A15" s="1" t="s">
        <v>34</v>
      </c>
      <c r="B15" s="79">
        <f t="shared" si="3"/>
        <v>4</v>
      </c>
      <c r="C15" s="11">
        <v>1.4503384841795437</v>
      </c>
      <c r="D15" s="12">
        <f t="shared" si="0"/>
        <v>0.16666666666666666</v>
      </c>
      <c r="E15" s="15">
        <f t="shared" si="1"/>
        <v>0.027777777777777776</v>
      </c>
      <c r="F15" s="15">
        <f t="shared" si="2"/>
        <v>0.2417230806965906</v>
      </c>
      <c r="G15"/>
      <c r="I15" s="51" t="s">
        <v>148</v>
      </c>
      <c r="J15" s="8">
        <v>3</v>
      </c>
      <c r="K15" s="6" t="s">
        <v>35</v>
      </c>
    </row>
    <row r="16" spans="1:6" ht="12.75">
      <c r="A16" s="1" t="s">
        <v>36</v>
      </c>
      <c r="B16" s="79">
        <f t="shared" si="3"/>
        <v>5</v>
      </c>
      <c r="C16" s="11">
        <v>1.3693966151582047</v>
      </c>
      <c r="D16" s="12">
        <f t="shared" si="0"/>
        <v>0.16666666666666666</v>
      </c>
      <c r="E16" s="15">
        <f t="shared" si="1"/>
        <v>0.027777777777777776</v>
      </c>
      <c r="F16" s="15">
        <f t="shared" si="2"/>
        <v>0.2282327691930341</v>
      </c>
    </row>
    <row r="17" spans="1:11" ht="12.75">
      <c r="A17" s="1" t="s">
        <v>37</v>
      </c>
      <c r="B17" s="79">
        <f t="shared" si="3"/>
        <v>6</v>
      </c>
      <c r="C17" s="11">
        <v>0.8843046357615894</v>
      </c>
      <c r="D17" s="12">
        <f t="shared" si="0"/>
        <v>0.16666666666666666</v>
      </c>
      <c r="E17" s="15">
        <f t="shared" si="1"/>
        <v>0.027777777777777776</v>
      </c>
      <c r="F17" s="15">
        <f t="shared" si="2"/>
        <v>0.14738410596026488</v>
      </c>
      <c r="G17" s="6"/>
      <c r="J17" s="6" t="s">
        <v>216</v>
      </c>
      <c r="K17" s="6"/>
    </row>
    <row r="18" spans="1:6" ht="12.75">
      <c r="A18" s="1" t="s">
        <v>38</v>
      </c>
      <c r="B18" s="79">
        <f t="shared" si="3"/>
        <v>7</v>
      </c>
      <c r="C18" s="11">
        <v>0.8704267844002942</v>
      </c>
      <c r="D18" s="12">
        <f t="shared" si="0"/>
        <v>0</v>
      </c>
      <c r="E18" s="15">
        <f t="shared" si="1"/>
        <v>0</v>
      </c>
      <c r="F18" s="15">
        <f t="shared" si="2"/>
        <v>0</v>
      </c>
    </row>
    <row r="19" spans="1:6" ht="12.75">
      <c r="A19" s="1" t="s">
        <v>39</v>
      </c>
      <c r="B19" s="79">
        <f t="shared" si="3"/>
        <v>8</v>
      </c>
      <c r="C19" s="11">
        <v>0.7445548197203826</v>
      </c>
      <c r="D19" s="12">
        <f t="shared" si="0"/>
        <v>0</v>
      </c>
      <c r="E19" s="15">
        <f t="shared" si="1"/>
        <v>0</v>
      </c>
      <c r="F19" s="15">
        <f t="shared" si="2"/>
        <v>0</v>
      </c>
    </row>
    <row r="20" spans="1:6" ht="12.75">
      <c r="A20" s="1" t="s">
        <v>40</v>
      </c>
      <c r="B20" s="79">
        <f t="shared" si="3"/>
        <v>9</v>
      </c>
      <c r="C20" s="11">
        <v>0.7309124356144223</v>
      </c>
      <c r="D20" s="12">
        <f t="shared" si="0"/>
        <v>0</v>
      </c>
      <c r="E20" s="15">
        <f t="shared" si="1"/>
        <v>0</v>
      </c>
      <c r="F20" s="15">
        <f t="shared" si="2"/>
        <v>0</v>
      </c>
    </row>
    <row r="21" spans="1:7" ht="12.75">
      <c r="A21" s="1" t="s">
        <v>41</v>
      </c>
      <c r="B21" s="79">
        <f t="shared" si="3"/>
        <v>10</v>
      </c>
      <c r="C21" s="11">
        <v>0.4886239882266372</v>
      </c>
      <c r="D21" s="12">
        <f t="shared" si="0"/>
        <v>0</v>
      </c>
      <c r="E21" s="15">
        <f t="shared" si="1"/>
        <v>0</v>
      </c>
      <c r="F21" s="15">
        <f t="shared" si="2"/>
        <v>0</v>
      </c>
      <c r="G21" s="6"/>
    </row>
    <row r="22" spans="1:6" ht="12.75">
      <c r="A22" s="1" t="s">
        <v>42</v>
      </c>
      <c r="B22" s="79">
        <f t="shared" si="3"/>
        <v>11</v>
      </c>
      <c r="C22" s="11">
        <v>0.465504047093451</v>
      </c>
      <c r="D22" s="12">
        <f t="shared" si="0"/>
        <v>0</v>
      </c>
      <c r="E22" s="15">
        <f t="shared" si="1"/>
        <v>0</v>
      </c>
      <c r="F22" s="15">
        <f t="shared" si="2"/>
        <v>0</v>
      </c>
    </row>
    <row r="23" spans="1:6" ht="12.75">
      <c r="A23" s="1" t="s">
        <v>43</v>
      </c>
      <c r="B23" s="79">
        <f t="shared" si="3"/>
        <v>12</v>
      </c>
      <c r="C23" s="11">
        <v>0.3368211920529801</v>
      </c>
      <c r="D23" s="12">
        <f t="shared" si="0"/>
        <v>0</v>
      </c>
      <c r="E23" s="15">
        <f t="shared" si="1"/>
        <v>0</v>
      </c>
      <c r="F23" s="15">
        <f t="shared" si="2"/>
        <v>0</v>
      </c>
    </row>
    <row r="24" spans="1:8" ht="12.75">
      <c r="A24" s="1" t="s">
        <v>44</v>
      </c>
      <c r="B24" s="79">
        <f t="shared" si="3"/>
        <v>13</v>
      </c>
      <c r="C24" s="11">
        <v>0.32394407652685797</v>
      </c>
      <c r="D24" s="12">
        <f t="shared" si="0"/>
        <v>0</v>
      </c>
      <c r="E24" s="15">
        <f t="shared" si="1"/>
        <v>0</v>
      </c>
      <c r="F24" s="15">
        <f t="shared" si="2"/>
        <v>0</v>
      </c>
      <c r="G24" s="6"/>
      <c r="H24" s="6" t="s">
        <v>45</v>
      </c>
    </row>
    <row r="25" spans="1:14" ht="12.75">
      <c r="A25" s="1" t="s">
        <v>46</v>
      </c>
      <c r="B25" s="79">
        <f t="shared" si="3"/>
        <v>14</v>
      </c>
      <c r="C25" s="11">
        <v>0.29235467255334807</v>
      </c>
      <c r="D25" s="12">
        <f t="shared" si="0"/>
        <v>0</v>
      </c>
      <c r="E25" s="15">
        <f t="shared" si="1"/>
        <v>0</v>
      </c>
      <c r="F25" s="15">
        <f t="shared" si="2"/>
        <v>0</v>
      </c>
      <c r="G25" s="6"/>
      <c r="H25" s="6" t="s">
        <v>47</v>
      </c>
      <c r="N25" s="126"/>
    </row>
    <row r="26" spans="1:7" ht="12.75">
      <c r="A26" s="1" t="s">
        <v>48</v>
      </c>
      <c r="B26" s="79">
        <f t="shared" si="3"/>
        <v>15</v>
      </c>
      <c r="C26" s="11">
        <v>0.2379175864606328</v>
      </c>
      <c r="D26" s="12">
        <f t="shared" si="0"/>
        <v>0</v>
      </c>
      <c r="E26" s="15">
        <f t="shared" si="1"/>
        <v>0</v>
      </c>
      <c r="F26" s="15">
        <f t="shared" si="2"/>
        <v>0</v>
      </c>
      <c r="G26"/>
    </row>
    <row r="27" spans="1:6" ht="12.75">
      <c r="A27" s="1" t="s">
        <v>49</v>
      </c>
      <c r="B27" s="79">
        <f t="shared" si="3"/>
        <v>16</v>
      </c>
      <c r="C27" s="11">
        <v>0.2218175128771155</v>
      </c>
      <c r="D27" s="12">
        <f t="shared" si="0"/>
        <v>0</v>
      </c>
      <c r="E27" s="15">
        <f t="shared" si="1"/>
        <v>0</v>
      </c>
      <c r="F27" s="15">
        <f t="shared" si="2"/>
        <v>0</v>
      </c>
    </row>
    <row r="28" spans="1:6" ht="12.75">
      <c r="A28" s="1" t="s">
        <v>50</v>
      </c>
      <c r="B28" s="79">
        <f t="shared" si="3"/>
        <v>17</v>
      </c>
      <c r="C28" s="11">
        <v>0.18508462104488593</v>
      </c>
      <c r="D28" s="12">
        <f t="shared" si="0"/>
        <v>0</v>
      </c>
      <c r="E28" s="15">
        <f t="shared" si="1"/>
        <v>0</v>
      </c>
      <c r="F28" s="15">
        <f t="shared" si="2"/>
        <v>0</v>
      </c>
    </row>
    <row r="29" spans="1:6" ht="12.75">
      <c r="A29" s="1" t="s">
        <v>51</v>
      </c>
      <c r="B29" s="79">
        <f t="shared" si="3"/>
        <v>18</v>
      </c>
      <c r="C29" s="11">
        <v>0.16093451066961</v>
      </c>
      <c r="D29" s="12">
        <f t="shared" si="0"/>
        <v>0</v>
      </c>
      <c r="E29" s="15">
        <f aca="true" t="shared" si="4" ref="E29:E44">D29*D29</f>
        <v>0</v>
      </c>
      <c r="F29" s="15">
        <f aca="true" t="shared" si="5" ref="F29:F44">D29*C29</f>
        <v>0</v>
      </c>
    </row>
    <row r="30" spans="1:6" ht="12.75">
      <c r="A30" s="1" t="s">
        <v>52</v>
      </c>
      <c r="B30" s="79">
        <f aca="true" t="shared" si="6" ref="B30:B45">B29+1</f>
        <v>19</v>
      </c>
      <c r="C30" s="11">
        <v>0.07874172185430464</v>
      </c>
      <c r="D30" s="12">
        <f t="shared" si="0"/>
        <v>0</v>
      </c>
      <c r="E30" s="15">
        <f t="shared" si="4"/>
        <v>0</v>
      </c>
      <c r="F30" s="15">
        <f t="shared" si="5"/>
        <v>0</v>
      </c>
    </row>
    <row r="31" spans="1:6" ht="12.75">
      <c r="A31" s="1" t="s">
        <v>53</v>
      </c>
      <c r="B31" s="79">
        <f t="shared" si="6"/>
        <v>20</v>
      </c>
      <c r="C31" s="11">
        <v>0.03743193524650479</v>
      </c>
      <c r="D31" s="12">
        <f t="shared" si="0"/>
        <v>0</v>
      </c>
      <c r="E31" s="15">
        <f t="shared" si="4"/>
        <v>0</v>
      </c>
      <c r="F31" s="15">
        <f t="shared" si="5"/>
        <v>0</v>
      </c>
    </row>
    <row r="32" spans="1:6" ht="12.75">
      <c r="A32" s="1" t="s">
        <v>54</v>
      </c>
      <c r="B32" s="79">
        <f t="shared" si="6"/>
        <v>21</v>
      </c>
      <c r="C32" s="11">
        <v>0.01144223693892568</v>
      </c>
      <c r="D32" s="12">
        <f t="shared" si="0"/>
        <v>0</v>
      </c>
      <c r="E32" s="15">
        <f t="shared" si="4"/>
        <v>0</v>
      </c>
      <c r="F32" s="15">
        <f t="shared" si="5"/>
        <v>0</v>
      </c>
    </row>
    <row r="33" spans="1:6" ht="12.75">
      <c r="A33" s="1" t="s">
        <v>55</v>
      </c>
      <c r="B33" s="79">
        <f t="shared" si="6"/>
        <v>22</v>
      </c>
      <c r="C33" s="11">
        <v>-0.0016997792494481236</v>
      </c>
      <c r="D33" s="12">
        <f t="shared" si="0"/>
        <v>0</v>
      </c>
      <c r="E33" s="15">
        <f t="shared" si="4"/>
        <v>0</v>
      </c>
      <c r="F33" s="15">
        <f t="shared" si="5"/>
        <v>0</v>
      </c>
    </row>
    <row r="34" spans="1:6" ht="12.75">
      <c r="A34" s="1" t="s">
        <v>56</v>
      </c>
      <c r="B34" s="79">
        <f t="shared" si="6"/>
        <v>23</v>
      </c>
      <c r="C34" s="11">
        <v>-0.07874172185430463</v>
      </c>
      <c r="D34" s="12">
        <f t="shared" si="0"/>
        <v>0</v>
      </c>
      <c r="E34" s="15">
        <f t="shared" si="4"/>
        <v>0</v>
      </c>
      <c r="F34" s="15">
        <f t="shared" si="5"/>
        <v>0</v>
      </c>
    </row>
    <row r="35" spans="1:6" ht="12.75">
      <c r="A35" s="1" t="s">
        <v>57</v>
      </c>
      <c r="B35" s="79">
        <f t="shared" si="6"/>
        <v>24</v>
      </c>
      <c r="C35" s="11">
        <v>-0.21315673289183223</v>
      </c>
      <c r="D35" s="12">
        <f t="shared" si="0"/>
        <v>0</v>
      </c>
      <c r="E35" s="15">
        <f t="shared" si="4"/>
        <v>0</v>
      </c>
      <c r="F35" s="15">
        <f t="shared" si="5"/>
        <v>0</v>
      </c>
    </row>
    <row r="36" spans="1:6" ht="12.75">
      <c r="A36" s="1" t="s">
        <v>58</v>
      </c>
      <c r="B36" s="79">
        <f t="shared" si="6"/>
        <v>25</v>
      </c>
      <c r="C36" s="11">
        <v>-0.43249448123620315</v>
      </c>
      <c r="D36" s="12">
        <f t="shared" si="0"/>
        <v>0</v>
      </c>
      <c r="E36" s="15">
        <f t="shared" si="4"/>
        <v>0</v>
      </c>
      <c r="F36" s="15">
        <f t="shared" si="5"/>
        <v>0</v>
      </c>
    </row>
    <row r="37" spans="1:6" ht="12.75">
      <c r="A37" s="1" t="s">
        <v>59</v>
      </c>
      <c r="B37" s="79">
        <f t="shared" si="6"/>
        <v>26</v>
      </c>
      <c r="C37" s="11">
        <v>-0.4476747608535689</v>
      </c>
      <c r="D37" s="12">
        <f t="shared" si="0"/>
        <v>0</v>
      </c>
      <c r="E37" s="15">
        <f t="shared" si="4"/>
        <v>0</v>
      </c>
      <c r="F37" s="15">
        <f t="shared" si="5"/>
        <v>0</v>
      </c>
    </row>
    <row r="38" spans="1:6" ht="12.75">
      <c r="A38" s="1" t="s">
        <v>60</v>
      </c>
      <c r="B38" s="79">
        <f t="shared" si="6"/>
        <v>27</v>
      </c>
      <c r="C38" s="11">
        <v>-0.6160779985283297</v>
      </c>
      <c r="D38" s="12">
        <f t="shared" si="0"/>
        <v>0</v>
      </c>
      <c r="E38" s="15">
        <f t="shared" si="4"/>
        <v>0</v>
      </c>
      <c r="F38" s="15">
        <f t="shared" si="5"/>
        <v>0</v>
      </c>
    </row>
    <row r="39" spans="1:6" ht="12.75">
      <c r="A39" s="1" t="s">
        <v>61</v>
      </c>
      <c r="B39" s="79">
        <f t="shared" si="6"/>
        <v>28</v>
      </c>
      <c r="C39" s="11">
        <v>-0.7011773362766741</v>
      </c>
      <c r="D39" s="12">
        <f t="shared" si="0"/>
        <v>0</v>
      </c>
      <c r="E39" s="15">
        <f t="shared" si="4"/>
        <v>0</v>
      </c>
      <c r="F39" s="15">
        <f t="shared" si="5"/>
        <v>0</v>
      </c>
    </row>
    <row r="40" spans="1:8" ht="12.75">
      <c r="A40" s="1" t="s">
        <v>62</v>
      </c>
      <c r="B40" s="79">
        <f t="shared" si="6"/>
        <v>29</v>
      </c>
      <c r="C40" s="11">
        <v>-0.8287270051508462</v>
      </c>
      <c r="D40" s="12">
        <f t="shared" si="0"/>
        <v>0</v>
      </c>
      <c r="E40" s="15">
        <f t="shared" si="4"/>
        <v>0</v>
      </c>
      <c r="F40" s="15">
        <f t="shared" si="5"/>
        <v>0</v>
      </c>
      <c r="H40"/>
    </row>
    <row r="41" spans="1:8" ht="12.75">
      <c r="A41" s="1" t="s">
        <v>63</v>
      </c>
      <c r="B41" s="79">
        <f t="shared" si="6"/>
        <v>30</v>
      </c>
      <c r="C41" s="11">
        <v>-0.9424135393671818</v>
      </c>
      <c r="D41" s="12">
        <f t="shared" si="0"/>
        <v>0</v>
      </c>
      <c r="E41" s="15">
        <f t="shared" si="4"/>
        <v>0</v>
      </c>
      <c r="F41" s="15">
        <f t="shared" si="5"/>
        <v>0</v>
      </c>
      <c r="H41"/>
    </row>
    <row r="42" spans="1:6" ht="12.75">
      <c r="A42" s="1" t="s">
        <v>64</v>
      </c>
      <c r="B42" s="79">
        <f t="shared" si="6"/>
        <v>31</v>
      </c>
      <c r="C42" s="11">
        <v>-1.1447682119205298</v>
      </c>
      <c r="D42" s="12">
        <f t="shared" si="0"/>
        <v>0</v>
      </c>
      <c r="E42" s="15">
        <f t="shared" si="4"/>
        <v>0</v>
      </c>
      <c r="F42" s="15">
        <f t="shared" si="5"/>
        <v>0</v>
      </c>
    </row>
    <row r="43" spans="1:7" ht="12.75">
      <c r="A43" s="1" t="s">
        <v>65</v>
      </c>
      <c r="B43" s="79">
        <f t="shared" si="6"/>
        <v>32</v>
      </c>
      <c r="C43" s="11">
        <v>-1.1682413539367182</v>
      </c>
      <c r="D43" s="12">
        <f t="shared" si="0"/>
        <v>0</v>
      </c>
      <c r="E43" s="15">
        <f t="shared" si="4"/>
        <v>0</v>
      </c>
      <c r="F43" s="15">
        <f t="shared" si="5"/>
        <v>0</v>
      </c>
      <c r="G43"/>
    </row>
    <row r="44" spans="1:6" ht="12.75">
      <c r="A44" s="1" t="s">
        <v>66</v>
      </c>
      <c r="B44" s="79">
        <f t="shared" si="6"/>
        <v>33</v>
      </c>
      <c r="C44" s="11">
        <v>-1.3168064753495217</v>
      </c>
      <c r="D44" s="12">
        <f t="shared" si="0"/>
        <v>0</v>
      </c>
      <c r="E44" s="15">
        <f t="shared" si="4"/>
        <v>0</v>
      </c>
      <c r="F44" s="15">
        <f t="shared" si="5"/>
        <v>0</v>
      </c>
    </row>
    <row r="45" spans="1:6" ht="12.75">
      <c r="A45" s="1" t="s">
        <v>67</v>
      </c>
      <c r="B45" s="79">
        <f t="shared" si="6"/>
        <v>34</v>
      </c>
      <c r="C45" s="11">
        <v>-1.8666961000735836</v>
      </c>
      <c r="D45" s="12">
        <f t="shared" si="0"/>
        <v>0</v>
      </c>
      <c r="E45" s="15">
        <f>D45*D45</f>
        <v>0</v>
      </c>
      <c r="F45" s="15">
        <f>D45*C45</f>
        <v>0</v>
      </c>
    </row>
    <row r="46" spans="1:6" ht="12.75">
      <c r="A46" s="1" t="s">
        <v>68</v>
      </c>
      <c r="B46" s="79">
        <f>B45+1</f>
        <v>35</v>
      </c>
      <c r="C46" s="11">
        <v>-1.9817807211184697</v>
      </c>
      <c r="D46" s="12">
        <f t="shared" si="0"/>
        <v>0</v>
      </c>
      <c r="E46" s="15">
        <f>D46*D46</f>
        <v>0</v>
      </c>
      <c r="F46" s="15">
        <f>D46*C46</f>
        <v>0</v>
      </c>
    </row>
    <row r="47" spans="1:6" ht="12.75">
      <c r="A47" s="1" t="s">
        <v>69</v>
      </c>
      <c r="B47" s="79">
        <f>B46+1</f>
        <v>36</v>
      </c>
      <c r="C47" s="11">
        <v>-2.1218101545253862</v>
      </c>
      <c r="D47" s="12">
        <f t="shared" si="0"/>
        <v>0</v>
      </c>
      <c r="E47" s="15">
        <f>D47*D47</f>
        <v>0</v>
      </c>
      <c r="F47" s="15">
        <f>D47*C47</f>
        <v>0</v>
      </c>
    </row>
    <row r="48" spans="1:7" ht="12.75">
      <c r="A48" s="1" t="s">
        <v>70</v>
      </c>
      <c r="C48" s="53">
        <f>SUM(C12:C47)</f>
        <v>-3.679175864590434E-05</v>
      </c>
      <c r="D48" s="53">
        <f>SUM(D12:D47)</f>
        <v>0.9999999999999999</v>
      </c>
      <c r="E48" s="53">
        <f>SUM(E12:E47)</f>
        <v>0.16666666666666669</v>
      </c>
      <c r="F48" s="53">
        <f>SUM(F12:F47)</f>
        <v>1.4459529065489332</v>
      </c>
      <c r="G48" s="6" t="s">
        <v>71</v>
      </c>
    </row>
    <row r="49" spans="1:6" ht="12.75">
      <c r="A49" s="6" t="s">
        <v>72</v>
      </c>
      <c r="B49" s="6"/>
      <c r="C49" s="16">
        <f>C48/COUNT(C12:C47)</f>
        <v>-1.021993295719565E-06</v>
      </c>
      <c r="D49" s="12"/>
      <c r="E49" s="12"/>
      <c r="F49" s="9"/>
    </row>
    <row r="50" spans="1:6" ht="12.75">
      <c r="A50" s="1" t="s">
        <v>73</v>
      </c>
      <c r="C50" s="16">
        <f>STDEV(C12:C47)</f>
        <v>1.0000293240259506</v>
      </c>
      <c r="D50" s="12"/>
      <c r="E50" s="12"/>
      <c r="F50" s="9"/>
    </row>
    <row r="51" spans="1:6" ht="12.75">
      <c r="A51" s="6" t="s">
        <v>74</v>
      </c>
      <c r="B51" s="6"/>
      <c r="C51" s="9"/>
      <c r="D51" s="12"/>
      <c r="E51" s="12"/>
      <c r="F51" s="16">
        <f>F48</f>
        <v>1.4459529065489332</v>
      </c>
    </row>
    <row r="52" spans="1:6" ht="14.25">
      <c r="A52" s="6" t="s">
        <v>75</v>
      </c>
      <c r="B52" s="6"/>
      <c r="C52" s="9"/>
      <c r="D52" s="12"/>
      <c r="E52" s="12">
        <f>1/E48</f>
        <v>5.999999999999999</v>
      </c>
      <c r="F52" s="9"/>
    </row>
    <row r="53" spans="1:6" ht="12.75">
      <c r="A53" s="6" t="s">
        <v>76</v>
      </c>
      <c r="B53" s="6"/>
      <c r="C53" s="9"/>
      <c r="D53" s="12">
        <f>F51-J15/E52</f>
        <v>0.945952906548933</v>
      </c>
      <c r="E53" s="12"/>
      <c r="F53" s="9"/>
    </row>
    <row r="54" spans="1:2" ht="12.75">
      <c r="A54" s="6"/>
      <c r="B54" s="6"/>
    </row>
  </sheetData>
  <printOptions gridLines="1"/>
  <pageMargins left="0.75" right="0.75" top="1" bottom="1" header="0.5" footer="0.5"/>
  <pageSetup horizontalDpi="600" verticalDpi="600" orientation="portrait" paperSize="9" r:id="rId4"/>
  <headerFooter alignWithMargins="0">
    <oddHeader>&amp;C&amp;F</oddHeader>
    <oddFooter>&amp;CPage &amp;P</oddFooter>
  </headerFooter>
  <legacyDrawing r:id="rId3"/>
  <oleObjects>
    <oleObject progId="Equation.2" shapeId="2090750" r:id="rId1"/>
    <oleObject progId="Equation.2" shapeId="2145132" r:id="rId2"/>
  </oleObjects>
</worksheet>
</file>

<file path=xl/worksheets/sheet4.xml><?xml version="1.0" encoding="utf-8"?>
<worksheet xmlns="http://schemas.openxmlformats.org/spreadsheetml/2006/main" xmlns:r="http://schemas.openxmlformats.org/officeDocument/2006/relationships">
  <sheetPr codeName="Sheet3"/>
  <dimension ref="A2:P64"/>
  <sheetViews>
    <sheetView workbookViewId="0" topLeftCell="A1">
      <selection activeCell="B3" sqref="B3"/>
    </sheetView>
  </sheetViews>
  <sheetFormatPr defaultColWidth="9.140625" defaultRowHeight="12.75"/>
  <cols>
    <col min="1" max="1" width="9.421875" style="14" customWidth="1"/>
    <col min="2" max="2" width="9.140625" style="14" customWidth="1"/>
    <col min="3" max="4" width="7.8515625" style="80" customWidth="1"/>
    <col min="5" max="5" width="7.421875" style="80" customWidth="1"/>
    <col min="6" max="6" width="7.57421875" style="14" customWidth="1"/>
    <col min="7" max="7" width="6.28125" style="80" customWidth="1"/>
    <col min="8" max="8" width="6.7109375" style="80" customWidth="1"/>
    <col min="9" max="10" width="7.28125" style="14" customWidth="1"/>
    <col min="11" max="13" width="9.140625" style="14" customWidth="1"/>
    <col min="14" max="14" width="13.8515625" style="14" customWidth="1"/>
    <col min="15" max="16384" width="9.140625" style="14" customWidth="1"/>
  </cols>
  <sheetData>
    <row r="1" ht="7.5" customHeight="1"/>
    <row r="2" spans="1:14" ht="12.75">
      <c r="A2" s="85" t="s">
        <v>126</v>
      </c>
      <c r="B2" s="80"/>
      <c r="F2" s="80"/>
      <c r="I2" s="80"/>
      <c r="J2" s="80"/>
      <c r="N2" s="14" t="s">
        <v>314</v>
      </c>
    </row>
    <row r="3" spans="1:9" ht="16.5" customHeight="1">
      <c r="A3" s="83" t="s">
        <v>322</v>
      </c>
      <c r="B3" s="84"/>
      <c r="C3" s="181" t="s">
        <v>124</v>
      </c>
      <c r="D3" s="95"/>
      <c r="E3" s="211" t="s">
        <v>125</v>
      </c>
      <c r="F3" s="212"/>
      <c r="G3" s="182" t="s">
        <v>312</v>
      </c>
      <c r="H3" s="98"/>
      <c r="I3" s="102"/>
    </row>
    <row r="4" spans="1:8" ht="16.5" customHeight="1">
      <c r="A4"/>
      <c r="B4"/>
      <c r="C4"/>
      <c r="D4"/>
      <c r="E4"/>
      <c r="F4" s="34"/>
      <c r="G4" s="99"/>
      <c r="H4" s="103" t="s">
        <v>129</v>
      </c>
    </row>
    <row r="5" spans="1:14" ht="12.75">
      <c r="A5" t="s">
        <v>127</v>
      </c>
      <c r="B5" s="75" t="s">
        <v>77</v>
      </c>
      <c r="C5" s="31"/>
      <c r="D5" s="73">
        <f>SUMPRODUCT($D16:D51,$B16:B51)</f>
        <v>1.1466877866112597</v>
      </c>
      <c r="E5" s="31"/>
      <c r="F5" s="73">
        <f>SUMPRODUCT(F16:F51,$B16:$B51)</f>
        <v>1.5908857172209405</v>
      </c>
      <c r="G5" s="100">
        <f>SUMPRODUCT(G16:G51,$B16:$B51)</f>
        <v>1.0887035922135262</v>
      </c>
      <c r="H5" s="31"/>
      <c r="I5" s="100">
        <f>SUMPRODUCT(I16:I51,$B16:$B51)</f>
        <v>1.4459529065489332</v>
      </c>
      <c r="J5" s="13"/>
      <c r="K5" s="13"/>
      <c r="M5" s="13"/>
      <c r="N5"/>
    </row>
    <row r="6" spans="1:14" ht="14.25">
      <c r="A6" s="145">
        <f>COUNT(B16:B51)</f>
        <v>36</v>
      </c>
      <c r="B6" s="75" t="s">
        <v>78</v>
      </c>
      <c r="C6" s="31"/>
      <c r="D6" s="73">
        <f>1/SUMSQ(D16:D51)</f>
        <v>12.010535998873124</v>
      </c>
      <c r="E6" s="31"/>
      <c r="F6" s="73">
        <f>1/SUMSQ(F16:F51)</f>
        <v>4.724116224471645</v>
      </c>
      <c r="G6" s="101">
        <v>11</v>
      </c>
      <c r="H6"/>
      <c r="I6" s="100">
        <f>1/SUMSQ(I16:I51)</f>
        <v>5.999999999999999</v>
      </c>
      <c r="J6" s="13"/>
      <c r="K6" s="13"/>
      <c r="M6" s="13"/>
      <c r="N6"/>
    </row>
    <row r="7" spans="1:14" ht="14.25">
      <c r="A7" s="86"/>
      <c r="B7" s="76" t="s">
        <v>144</v>
      </c>
      <c r="C7" s="74">
        <v>0.01</v>
      </c>
      <c r="D7" s="34"/>
      <c r="E7" s="74">
        <v>1</v>
      </c>
      <c r="F7" s="34"/>
      <c r="G7" s="99"/>
      <c r="H7"/>
      <c r="I7" s="99"/>
      <c r="J7" s="13"/>
      <c r="K7" s="13"/>
      <c r="M7" s="69"/>
      <c r="N7"/>
    </row>
    <row r="8" spans="1:13" ht="12.75">
      <c r="A8" s="79"/>
      <c r="B8" s="76" t="s">
        <v>80</v>
      </c>
      <c r="C8" s="74">
        <v>100</v>
      </c>
      <c r="D8" s="34"/>
      <c r="E8" s="74">
        <v>115</v>
      </c>
      <c r="F8" s="34"/>
      <c r="G8" s="99"/>
      <c r="H8"/>
      <c r="I8" s="99"/>
      <c r="M8" s="69"/>
    </row>
    <row r="9" spans="1:13" ht="12.75">
      <c r="A9" s="42"/>
      <c r="B9" s="76"/>
      <c r="C9" s="106"/>
      <c r="D9" s="107"/>
      <c r="E9" s="106"/>
      <c r="F9" s="34"/>
      <c r="G9" s="99"/>
      <c r="H9" s="106"/>
      <c r="I9" s="99"/>
      <c r="M9" s="69"/>
    </row>
    <row r="10" spans="1:13" ht="12.75">
      <c r="A10" s="30" t="s">
        <v>70</v>
      </c>
      <c r="B10" s="149">
        <f aca="true" t="shared" si="0" ref="B10:I10">SUM(B16:B51)</f>
        <v>0.0003899926416472965</v>
      </c>
      <c r="C10" s="96">
        <f t="shared" si="0"/>
        <v>1365.2229580573949</v>
      </c>
      <c r="D10" s="35">
        <f t="shared" si="0"/>
        <v>1.0000000000000002</v>
      </c>
      <c r="E10" s="96">
        <f t="shared" si="0"/>
        <v>321.012472406181</v>
      </c>
      <c r="F10" s="35">
        <f t="shared" si="0"/>
        <v>1</v>
      </c>
      <c r="G10" s="92">
        <f t="shared" si="0"/>
        <v>1.0000000000000002</v>
      </c>
      <c r="H10" s="96">
        <f>SUM(H16:H51)</f>
        <v>60</v>
      </c>
      <c r="I10" s="92">
        <f t="shared" si="0"/>
        <v>0.9999999999999999</v>
      </c>
      <c r="M10" s="69"/>
    </row>
    <row r="11" spans="1:13" ht="12" customHeight="1">
      <c r="A11" s="30" t="s">
        <v>72</v>
      </c>
      <c r="B11" s="148">
        <f aca="true" t="shared" si="1" ref="B11:I11">B10/$A6</f>
        <v>1.0833128934647126E-05</v>
      </c>
      <c r="C11" s="146">
        <f t="shared" si="1"/>
        <v>37.92285994603875</v>
      </c>
      <c r="D11" s="147">
        <f t="shared" si="1"/>
        <v>0.027777777777777783</v>
      </c>
      <c r="E11" s="104">
        <f t="shared" si="1"/>
        <v>8.917013122393918</v>
      </c>
      <c r="F11" s="105">
        <f t="shared" si="1"/>
        <v>0.027777777777777776</v>
      </c>
      <c r="G11" s="105">
        <f t="shared" si="1"/>
        <v>0.027777777777777783</v>
      </c>
      <c r="H11" s="104">
        <f t="shared" si="1"/>
        <v>1.6666666666666667</v>
      </c>
      <c r="I11" s="105">
        <f t="shared" si="1"/>
        <v>0.027777777777777776</v>
      </c>
      <c r="M11" s="69"/>
    </row>
    <row r="12" spans="2:13" ht="6.75" customHeight="1">
      <c r="B12" s="30"/>
      <c r="C12" s="30"/>
      <c r="D12" s="33"/>
      <c r="E12" s="30"/>
      <c r="F12" s="33"/>
      <c r="G12" s="94"/>
      <c r="H12" s="94"/>
      <c r="I12" s="94"/>
      <c r="J12"/>
      <c r="M12" s="69"/>
    </row>
    <row r="13" spans="2:13" ht="6" customHeight="1">
      <c r="B13" s="30"/>
      <c r="C13" s="30"/>
      <c r="D13" s="33"/>
      <c r="E13" s="30"/>
      <c r="F13" s="33"/>
      <c r="G13" s="94"/>
      <c r="H13" s="94"/>
      <c r="I13" s="94"/>
      <c r="M13" s="69"/>
    </row>
    <row r="14" spans="1:13" ht="12" customHeight="1">
      <c r="A14" s="150" t="s">
        <v>20</v>
      </c>
      <c r="B14" s="151" t="s">
        <v>131</v>
      </c>
      <c r="C14" s="181" t="s">
        <v>124</v>
      </c>
      <c r="D14" s="97"/>
      <c r="E14" s="211" t="s">
        <v>125</v>
      </c>
      <c r="F14" s="212"/>
      <c r="G14" s="120" t="s">
        <v>132</v>
      </c>
      <c r="H14" s="213" t="s">
        <v>133</v>
      </c>
      <c r="I14" s="214"/>
      <c r="J14" s="13"/>
      <c r="M14" s="69"/>
    </row>
    <row r="15" spans="1:14" ht="15.75" customHeight="1" thickBot="1">
      <c r="A15" s="152" t="s">
        <v>21</v>
      </c>
      <c r="B15" s="153" t="s">
        <v>22</v>
      </c>
      <c r="C15" s="154" t="s">
        <v>82</v>
      </c>
      <c r="D15" s="154" t="s">
        <v>83</v>
      </c>
      <c r="E15" s="155" t="s">
        <v>84</v>
      </c>
      <c r="F15" s="155" t="s">
        <v>85</v>
      </c>
      <c r="G15" s="156" t="s">
        <v>86</v>
      </c>
      <c r="H15" s="157" t="s">
        <v>149</v>
      </c>
      <c r="I15" s="158" t="s">
        <v>130</v>
      </c>
      <c r="J15" s="13"/>
      <c r="K15" s="13"/>
      <c r="L15" s="13"/>
      <c r="M15" s="70"/>
      <c r="N15"/>
    </row>
    <row r="16" spans="1:13" ht="13.5" thickTop="1">
      <c r="A16" s="198" t="s">
        <v>298</v>
      </c>
      <c r="B16" s="195">
        <v>1.7347167034584254</v>
      </c>
      <c r="C16" s="87">
        <f aca="true" t="shared" si="2" ref="C16:C51">MAX(C$8*(B16-C$7),0)</f>
        <v>172.47167034584254</v>
      </c>
      <c r="D16" s="88">
        <f>C16/C$10</f>
        <v>0.1263322370371329</v>
      </c>
      <c r="E16" s="87">
        <f>MAX(E$8*(B16-E$7),0)</f>
        <v>84.49242089771893</v>
      </c>
      <c r="F16" s="88">
        <f>E16/E$10</f>
        <v>0.2632060376483118</v>
      </c>
      <c r="G16" s="91">
        <f>IF(COUNT($B$16:B16)&lt;$G$6+1,1/$G$6,0)</f>
        <v>0.09090909090909091</v>
      </c>
      <c r="H16" s="121">
        <v>10</v>
      </c>
      <c r="I16" s="123">
        <f>H16/$H$10</f>
        <v>0.16666666666666666</v>
      </c>
      <c r="J16" s="13"/>
      <c r="M16" s="70"/>
    </row>
    <row r="17" spans="1:13" ht="12.75">
      <c r="A17" s="199">
        <v>2</v>
      </c>
      <c r="B17" s="196">
        <v>1.669970566593083</v>
      </c>
      <c r="C17" s="32">
        <f t="shared" si="2"/>
        <v>165.9970566593083</v>
      </c>
      <c r="D17" s="35">
        <f aca="true" t="shared" si="3" ref="D17:D51">C17/C$10</f>
        <v>0.1215897049486401</v>
      </c>
      <c r="E17" s="32">
        <f aca="true" t="shared" si="4" ref="E17:E51">MAX(E$8*(B17-E$7),0)</f>
        <v>77.04661515820456</v>
      </c>
      <c r="F17" s="35">
        <f aca="true" t="shared" si="5" ref="F17:F51">E17/E$10</f>
        <v>0.2400112823676101</v>
      </c>
      <c r="G17" s="92">
        <f>IF(COUNT($B$16:B17)&lt;$G$6+1,1/$G$6,0)</f>
        <v>0.09090909090909091</v>
      </c>
      <c r="H17" s="122">
        <v>10</v>
      </c>
      <c r="I17" s="124">
        <f aca="true" t="shared" si="6" ref="I17:I51">H17/$H$10</f>
        <v>0.16666666666666666</v>
      </c>
      <c r="J17" s="13"/>
      <c r="M17" s="70"/>
    </row>
    <row r="18" spans="1:13" ht="12.75">
      <c r="A18" s="199">
        <v>3</v>
      </c>
      <c r="B18" s="196">
        <v>1.566990434142752</v>
      </c>
      <c r="C18" s="32">
        <f t="shared" si="2"/>
        <v>155.6990434142752</v>
      </c>
      <c r="D18" s="35">
        <f t="shared" si="3"/>
        <v>0.1140466049851833</v>
      </c>
      <c r="E18" s="32">
        <f t="shared" si="4"/>
        <v>65.20389992641648</v>
      </c>
      <c r="F18" s="35">
        <f t="shared" si="5"/>
        <v>0.20311952192285285</v>
      </c>
      <c r="G18" s="92">
        <f>IF(COUNT($B$16:B18)&lt;$G$6+1,1/$G$6,0)</f>
        <v>0.09090909090909091</v>
      </c>
      <c r="H18" s="122">
        <v>10</v>
      </c>
      <c r="I18" s="124">
        <f t="shared" si="6"/>
        <v>0.16666666666666666</v>
      </c>
      <c r="J18" s="13"/>
      <c r="M18" s="69"/>
    </row>
    <row r="19" spans="1:13" ht="12.75">
      <c r="A19" s="199">
        <v>4</v>
      </c>
      <c r="B19" s="196">
        <v>1.4503384841795437</v>
      </c>
      <c r="C19" s="32">
        <f t="shared" si="2"/>
        <v>144.03384841795437</v>
      </c>
      <c r="D19" s="35">
        <f t="shared" si="3"/>
        <v>0.10550207024272668</v>
      </c>
      <c r="E19" s="32">
        <f t="shared" si="4"/>
        <v>51.78892568064752</v>
      </c>
      <c r="F19" s="35">
        <f t="shared" si="5"/>
        <v>0.16132994862305025</v>
      </c>
      <c r="G19" s="92">
        <f>IF(COUNT($B$16:B19)&lt;$G$6+1,1/$G$6,0)</f>
        <v>0.09090909090909091</v>
      </c>
      <c r="H19" s="122">
        <v>10</v>
      </c>
      <c r="I19" s="124">
        <f t="shared" si="6"/>
        <v>0.16666666666666666</v>
      </c>
      <c r="J19" s="13"/>
      <c r="K19" s="13"/>
      <c r="L19" s="13"/>
      <c r="M19" s="70"/>
    </row>
    <row r="20" spans="1:13" ht="12.75">
      <c r="A20" s="199">
        <v>5</v>
      </c>
      <c r="B20" s="196">
        <v>1.3693966151582047</v>
      </c>
      <c r="C20" s="32">
        <f t="shared" si="2"/>
        <v>135.93966151582046</v>
      </c>
      <c r="D20" s="35">
        <f t="shared" si="3"/>
        <v>0.0995732314004241</v>
      </c>
      <c r="E20" s="32">
        <f t="shared" si="4"/>
        <v>42.48061074319354</v>
      </c>
      <c r="F20" s="35">
        <f t="shared" si="5"/>
        <v>0.13233320943817503</v>
      </c>
      <c r="G20" s="92">
        <f>IF(COUNT($B$16:B20)&lt;$G$6+1,1/$G$6,0)</f>
        <v>0.09090909090909091</v>
      </c>
      <c r="H20" s="122">
        <v>10</v>
      </c>
      <c r="I20" s="124">
        <f t="shared" si="6"/>
        <v>0.16666666666666666</v>
      </c>
      <c r="J20" s="13"/>
      <c r="M20" s="70"/>
    </row>
    <row r="21" spans="1:13" ht="12.75">
      <c r="A21" s="199">
        <v>6</v>
      </c>
      <c r="B21" s="196">
        <v>0.8843046357615894</v>
      </c>
      <c r="C21" s="32">
        <f t="shared" si="2"/>
        <v>87.43046357615893</v>
      </c>
      <c r="D21" s="35">
        <f t="shared" si="3"/>
        <v>0.06404116123315537</v>
      </c>
      <c r="E21" s="32">
        <f t="shared" si="4"/>
        <v>0</v>
      </c>
      <c r="F21" s="35">
        <f t="shared" si="5"/>
        <v>0</v>
      </c>
      <c r="G21" s="92">
        <f>IF(COUNT($B$16:B21)&lt;$G$6+1,1/$G$6,0)</f>
        <v>0.09090909090909091</v>
      </c>
      <c r="H21" s="122">
        <v>10</v>
      </c>
      <c r="I21" s="124">
        <f t="shared" si="6"/>
        <v>0.16666666666666666</v>
      </c>
      <c r="M21" s="13"/>
    </row>
    <row r="22" spans="1:16" ht="12.75">
      <c r="A22" s="199">
        <v>7</v>
      </c>
      <c r="B22" s="196">
        <v>0.8704267844002942</v>
      </c>
      <c r="C22" s="32">
        <f t="shared" si="2"/>
        <v>86.04267844002942</v>
      </c>
      <c r="D22" s="35">
        <f t="shared" si="3"/>
        <v>0.06302463486437512</v>
      </c>
      <c r="E22" s="32">
        <f t="shared" si="4"/>
        <v>0</v>
      </c>
      <c r="F22" s="35">
        <f t="shared" si="5"/>
        <v>0</v>
      </c>
      <c r="G22" s="92">
        <f>IF(COUNT($B$16:B22)&lt;$G$6+1,1/$G$6,0)</f>
        <v>0.09090909090909091</v>
      </c>
      <c r="H22" s="122">
        <v>0</v>
      </c>
      <c r="I22" s="124">
        <f t="shared" si="6"/>
        <v>0</v>
      </c>
      <c r="J22"/>
      <c r="K22"/>
      <c r="L22"/>
      <c r="M22"/>
      <c r="N22"/>
      <c r="O22"/>
      <c r="P22"/>
    </row>
    <row r="23" spans="1:16" ht="12.75">
      <c r="A23" s="199">
        <v>8</v>
      </c>
      <c r="B23" s="196">
        <v>0.7445548197203826</v>
      </c>
      <c r="C23" s="32">
        <f t="shared" si="2"/>
        <v>73.45548197203826</v>
      </c>
      <c r="D23" s="35">
        <f t="shared" si="3"/>
        <v>0.053804751479245294</v>
      </c>
      <c r="E23" s="32">
        <f t="shared" si="4"/>
        <v>0</v>
      </c>
      <c r="F23" s="35">
        <f t="shared" si="5"/>
        <v>0</v>
      </c>
      <c r="G23" s="92">
        <f>IF(COUNT($B$16:B23)&lt;$G$6+1,1/$G$6,0)</f>
        <v>0.09090909090909091</v>
      </c>
      <c r="H23" s="122">
        <v>0</v>
      </c>
      <c r="I23" s="124">
        <f t="shared" si="6"/>
        <v>0</v>
      </c>
      <c r="J23"/>
      <c r="K23"/>
      <c r="L23"/>
      <c r="M23"/>
      <c r="N23"/>
      <c r="O23"/>
      <c r="P23"/>
    </row>
    <row r="24" spans="1:16" ht="12.75">
      <c r="A24" s="199">
        <v>9</v>
      </c>
      <c r="B24" s="196">
        <v>0.7309124356144223</v>
      </c>
      <c r="C24" s="32">
        <f t="shared" si="2"/>
        <v>72.09124356144223</v>
      </c>
      <c r="D24" s="35">
        <f t="shared" si="3"/>
        <v>0.052805472641642655</v>
      </c>
      <c r="E24" s="32">
        <f t="shared" si="4"/>
        <v>0</v>
      </c>
      <c r="F24" s="35">
        <f t="shared" si="5"/>
        <v>0</v>
      </c>
      <c r="G24" s="92">
        <f>IF(COUNT($B$16:B24)&lt;$G$6+1,1/$G$6,0)</f>
        <v>0.09090909090909091</v>
      </c>
      <c r="H24" s="122">
        <v>0</v>
      </c>
      <c r="I24" s="124">
        <f t="shared" si="6"/>
        <v>0</v>
      </c>
      <c r="J24"/>
      <c r="K24"/>
      <c r="L24"/>
      <c r="M24"/>
      <c r="N24"/>
      <c r="O24"/>
      <c r="P24"/>
    </row>
    <row r="25" spans="1:16" ht="12.75">
      <c r="A25" s="199">
        <v>10</v>
      </c>
      <c r="B25" s="196">
        <v>0.4886239882266372</v>
      </c>
      <c r="C25" s="32">
        <f t="shared" si="2"/>
        <v>47.86239882266372</v>
      </c>
      <c r="D25" s="35">
        <f t="shared" si="3"/>
        <v>0.03505830204523381</v>
      </c>
      <c r="E25" s="32">
        <f t="shared" si="4"/>
        <v>0</v>
      </c>
      <c r="F25" s="35">
        <f t="shared" si="5"/>
        <v>0</v>
      </c>
      <c r="G25" s="92">
        <f>IF(COUNT($B$16:B25)&lt;$G$6+1,1/$G$6,0)</f>
        <v>0.09090909090909091</v>
      </c>
      <c r="H25" s="122">
        <v>0</v>
      </c>
      <c r="I25" s="124">
        <f t="shared" si="6"/>
        <v>0</v>
      </c>
      <c r="J25"/>
      <c r="K25"/>
      <c r="L25"/>
      <c r="M25"/>
      <c r="N25"/>
      <c r="O25"/>
      <c r="P25"/>
    </row>
    <row r="26" spans="1:16" ht="12.75">
      <c r="A26" s="199">
        <v>11</v>
      </c>
      <c r="B26" s="196">
        <v>0.465504047093451</v>
      </c>
      <c r="C26" s="32">
        <f t="shared" si="2"/>
        <v>45.5504047093451</v>
      </c>
      <c r="D26" s="35">
        <f t="shared" si="3"/>
        <v>0.03336481007773247</v>
      </c>
      <c r="E26" s="32">
        <f t="shared" si="4"/>
        <v>0</v>
      </c>
      <c r="F26" s="35">
        <f t="shared" si="5"/>
        <v>0</v>
      </c>
      <c r="G26" s="92">
        <f>IF(COUNT($B$16:B26)&lt;$G$6+1,1/$G$6,0)</f>
        <v>0.09090909090909091</v>
      </c>
      <c r="H26" s="122">
        <v>0</v>
      </c>
      <c r="I26" s="124">
        <f t="shared" si="6"/>
        <v>0</v>
      </c>
      <c r="J26"/>
      <c r="K26"/>
      <c r="L26"/>
      <c r="M26"/>
      <c r="N26"/>
      <c r="O26"/>
      <c r="P26"/>
    </row>
    <row r="27" spans="1:16" ht="12.75">
      <c r="A27" s="199">
        <v>12</v>
      </c>
      <c r="B27" s="196">
        <v>0.3368211920529801</v>
      </c>
      <c r="C27" s="32">
        <f t="shared" si="2"/>
        <v>32.68211920529801</v>
      </c>
      <c r="D27" s="35">
        <f t="shared" si="3"/>
        <v>0.023939034289169953</v>
      </c>
      <c r="E27" s="32">
        <f t="shared" si="4"/>
        <v>0</v>
      </c>
      <c r="F27" s="35">
        <f t="shared" si="5"/>
        <v>0</v>
      </c>
      <c r="G27" s="92">
        <f>IF(COUNT($B$16:B27)&lt;$G$6+1,1/$G$6,0)</f>
        <v>0</v>
      </c>
      <c r="H27" s="122"/>
      <c r="I27" s="124">
        <f t="shared" si="6"/>
        <v>0</v>
      </c>
      <c r="J27"/>
      <c r="K27"/>
      <c r="L27"/>
      <c r="M27"/>
      <c r="N27"/>
      <c r="O27"/>
      <c r="P27"/>
    </row>
    <row r="28" spans="1:16" ht="12.75">
      <c r="A28" s="199">
        <v>13</v>
      </c>
      <c r="B28" s="196">
        <v>0.32394407652685797</v>
      </c>
      <c r="C28" s="32">
        <f t="shared" si="2"/>
        <v>31.394407652685796</v>
      </c>
      <c r="D28" s="35">
        <f t="shared" si="3"/>
        <v>0.02299580992789454</v>
      </c>
      <c r="E28" s="32">
        <f t="shared" si="4"/>
        <v>0</v>
      </c>
      <c r="F28" s="35">
        <f t="shared" si="5"/>
        <v>0</v>
      </c>
      <c r="G28" s="92">
        <f>IF(COUNT($B$16:B28)&lt;$G$6+1,1/$G$6,0)</f>
        <v>0</v>
      </c>
      <c r="H28" s="122"/>
      <c r="I28" s="124">
        <f t="shared" si="6"/>
        <v>0</v>
      </c>
      <c r="J28"/>
      <c r="K28"/>
      <c r="L28"/>
      <c r="M28"/>
      <c r="N28"/>
      <c r="O28"/>
      <c r="P28"/>
    </row>
    <row r="29" spans="1:16" ht="12.75">
      <c r="A29" s="199">
        <v>14</v>
      </c>
      <c r="B29" s="196">
        <v>0.29235467255334807</v>
      </c>
      <c r="C29" s="32">
        <f t="shared" si="2"/>
        <v>28.235467255334807</v>
      </c>
      <c r="D29" s="35">
        <f t="shared" si="3"/>
        <v>0.020681945823348636</v>
      </c>
      <c r="E29" s="32">
        <f t="shared" si="4"/>
        <v>0</v>
      </c>
      <c r="F29" s="35">
        <f t="shared" si="5"/>
        <v>0</v>
      </c>
      <c r="G29" s="92">
        <f>IF(COUNT($B$16:B29)&lt;$G$6+1,1/$G$6,0)</f>
        <v>0</v>
      </c>
      <c r="H29" s="122"/>
      <c r="I29" s="124">
        <f t="shared" si="6"/>
        <v>0</v>
      </c>
      <c r="J29"/>
      <c r="K29"/>
      <c r="L29"/>
      <c r="M29"/>
      <c r="N29"/>
      <c r="O29"/>
      <c r="P29"/>
    </row>
    <row r="30" spans="1:16" ht="12.75">
      <c r="A30" s="199">
        <v>15</v>
      </c>
      <c r="B30" s="196">
        <v>0.2379175864606328</v>
      </c>
      <c r="C30" s="32">
        <f t="shared" si="2"/>
        <v>22.79175864606328</v>
      </c>
      <c r="D30" s="35">
        <f t="shared" si="3"/>
        <v>0.01669453220922549</v>
      </c>
      <c r="E30" s="32">
        <f t="shared" si="4"/>
        <v>0</v>
      </c>
      <c r="F30" s="35">
        <f t="shared" si="5"/>
        <v>0</v>
      </c>
      <c r="G30" s="92">
        <f>IF(COUNT($B$16:B30)&lt;$G$6+1,1/$G$6,0)</f>
        <v>0</v>
      </c>
      <c r="H30" s="122"/>
      <c r="I30" s="124">
        <f t="shared" si="6"/>
        <v>0</v>
      </c>
      <c r="J30"/>
      <c r="K30"/>
      <c r="L30"/>
      <c r="M30"/>
      <c r="N30"/>
      <c r="O30"/>
      <c r="P30"/>
    </row>
    <row r="31" spans="1:16" ht="12.75">
      <c r="A31" s="199">
        <v>16</v>
      </c>
      <c r="B31" s="196">
        <v>0.2218175128771155</v>
      </c>
      <c r="C31" s="32">
        <f t="shared" si="2"/>
        <v>21.18175128771155</v>
      </c>
      <c r="D31" s="35">
        <f t="shared" si="3"/>
        <v>0.015515232264956574</v>
      </c>
      <c r="E31" s="32">
        <f t="shared" si="4"/>
        <v>0</v>
      </c>
      <c r="F31" s="35">
        <f t="shared" si="5"/>
        <v>0</v>
      </c>
      <c r="G31" s="92">
        <f>IF(COUNT($B$16:B31)&lt;$G$6+1,1/$G$6,0)</f>
        <v>0</v>
      </c>
      <c r="H31" s="122"/>
      <c r="I31" s="124">
        <f t="shared" si="6"/>
        <v>0</v>
      </c>
      <c r="J31"/>
      <c r="K31"/>
      <c r="L31"/>
      <c r="M31"/>
      <c r="N31"/>
      <c r="O31"/>
      <c r="P31"/>
    </row>
    <row r="32" spans="1:16" ht="12.75">
      <c r="A32" s="199">
        <v>17</v>
      </c>
      <c r="B32" s="196">
        <v>0.18508462104488593</v>
      </c>
      <c r="C32" s="32">
        <f t="shared" si="2"/>
        <v>17.508462104488594</v>
      </c>
      <c r="D32" s="35">
        <f t="shared" si="3"/>
        <v>0.0128246174012498</v>
      </c>
      <c r="E32" s="32">
        <f t="shared" si="4"/>
        <v>0</v>
      </c>
      <c r="F32" s="35">
        <f t="shared" si="5"/>
        <v>0</v>
      </c>
      <c r="G32" s="92">
        <f>IF(COUNT($B$16:B32)&lt;$G$6+1,1/$G$6,0)</f>
        <v>0</v>
      </c>
      <c r="H32" s="122"/>
      <c r="I32" s="124">
        <f t="shared" si="6"/>
        <v>0</v>
      </c>
      <c r="J32"/>
      <c r="K32"/>
      <c r="L32"/>
      <c r="M32"/>
      <c r="N32"/>
      <c r="O32"/>
      <c r="P32"/>
    </row>
    <row r="33" spans="1:16" ht="12.75">
      <c r="A33" s="199">
        <v>18</v>
      </c>
      <c r="B33" s="196">
        <v>0.16093451066961</v>
      </c>
      <c r="C33" s="32">
        <f t="shared" si="2"/>
        <v>15.093451066961</v>
      </c>
      <c r="D33" s="35">
        <f t="shared" si="3"/>
        <v>0.011055667484846429</v>
      </c>
      <c r="E33" s="32">
        <f t="shared" si="4"/>
        <v>0</v>
      </c>
      <c r="F33" s="35">
        <f t="shared" si="5"/>
        <v>0</v>
      </c>
      <c r="G33" s="92">
        <f>IF(COUNT($B$16:B33)&lt;$G$6+1,1/$G$6,0)</f>
        <v>0</v>
      </c>
      <c r="H33" s="122"/>
      <c r="I33" s="124">
        <f t="shared" si="6"/>
        <v>0</v>
      </c>
      <c r="J33"/>
      <c r="K33"/>
      <c r="L33"/>
      <c r="M33"/>
      <c r="N33"/>
      <c r="O33"/>
      <c r="P33"/>
    </row>
    <row r="34" spans="1:16" ht="12.75">
      <c r="A34" s="199">
        <v>19</v>
      </c>
      <c r="B34" s="196">
        <v>0.07874172185430464</v>
      </c>
      <c r="C34" s="32">
        <f t="shared" si="2"/>
        <v>6.8741721854304645</v>
      </c>
      <c r="D34" s="35">
        <f t="shared" si="3"/>
        <v>0.0050352011331628</v>
      </c>
      <c r="E34" s="32">
        <f t="shared" si="4"/>
        <v>0</v>
      </c>
      <c r="F34" s="35">
        <f t="shared" si="5"/>
        <v>0</v>
      </c>
      <c r="G34" s="92">
        <f>IF(COUNT($B$16:B34)&lt;$G$6+1,1/$G$6,0)</f>
        <v>0</v>
      </c>
      <c r="H34" s="122"/>
      <c r="I34" s="124">
        <f t="shared" si="6"/>
        <v>0</v>
      </c>
      <c r="J34"/>
      <c r="K34"/>
      <c r="L34"/>
      <c r="M34"/>
      <c r="N34"/>
      <c r="O34"/>
      <c r="P34"/>
    </row>
    <row r="35" spans="1:16" ht="12.75">
      <c r="A35" s="199">
        <v>20</v>
      </c>
      <c r="B35" s="196">
        <v>0.03743193524650479</v>
      </c>
      <c r="C35" s="32">
        <f t="shared" si="2"/>
        <v>2.743193524650479</v>
      </c>
      <c r="D35" s="35">
        <f t="shared" si="3"/>
        <v>0.002009337382191278</v>
      </c>
      <c r="E35" s="32">
        <f t="shared" si="4"/>
        <v>0</v>
      </c>
      <c r="F35" s="35">
        <f t="shared" si="5"/>
        <v>0</v>
      </c>
      <c r="G35" s="92">
        <f>IF(COUNT($B$16:B35)&lt;$G$6+1,1/$G$6,0)</f>
        <v>0</v>
      </c>
      <c r="H35" s="122"/>
      <c r="I35" s="124">
        <f t="shared" si="6"/>
        <v>0</v>
      </c>
      <c r="J35"/>
      <c r="K35"/>
      <c r="L35"/>
      <c r="M35"/>
      <c r="N35"/>
      <c r="O35"/>
      <c r="P35"/>
    </row>
    <row r="36" spans="1:16" ht="12.75">
      <c r="A36" s="199">
        <v>21</v>
      </c>
      <c r="B36" s="196">
        <v>0.01144223693892568</v>
      </c>
      <c r="C36" s="32">
        <f t="shared" si="2"/>
        <v>0.14422369389256798</v>
      </c>
      <c r="D36" s="35">
        <f t="shared" si="3"/>
        <v>0.00010564112846284609</v>
      </c>
      <c r="E36" s="32">
        <f t="shared" si="4"/>
        <v>0</v>
      </c>
      <c r="F36" s="35">
        <f t="shared" si="5"/>
        <v>0</v>
      </c>
      <c r="G36" s="92">
        <f>IF(COUNT($B$16:B36)&lt;$G$6+1,1/$G$6,0)</f>
        <v>0</v>
      </c>
      <c r="H36" s="122"/>
      <c r="I36" s="124">
        <f t="shared" si="6"/>
        <v>0</v>
      </c>
      <c r="J36"/>
      <c r="K36"/>
      <c r="L36"/>
      <c r="M36"/>
      <c r="N36"/>
      <c r="O36"/>
      <c r="P36"/>
    </row>
    <row r="37" spans="1:16" ht="12.75">
      <c r="A37" s="199">
        <v>22</v>
      </c>
      <c r="B37" s="196">
        <v>0</v>
      </c>
      <c r="C37" s="32">
        <f t="shared" si="2"/>
        <v>0</v>
      </c>
      <c r="D37" s="35">
        <f t="shared" si="3"/>
        <v>0</v>
      </c>
      <c r="E37" s="32">
        <f t="shared" si="4"/>
        <v>0</v>
      </c>
      <c r="F37" s="35">
        <f t="shared" si="5"/>
        <v>0</v>
      </c>
      <c r="G37" s="92">
        <f>IF(COUNT($B$16:B37)&lt;$G$6+1,1/$G$6,0)</f>
        <v>0</v>
      </c>
      <c r="H37" s="122"/>
      <c r="I37" s="124">
        <f t="shared" si="6"/>
        <v>0</v>
      </c>
      <c r="J37"/>
      <c r="K37"/>
      <c r="L37"/>
      <c r="M37"/>
      <c r="N37"/>
      <c r="O37"/>
      <c r="P37"/>
    </row>
    <row r="38" spans="1:16" ht="12.75">
      <c r="A38" s="199">
        <v>23</v>
      </c>
      <c r="B38" s="196">
        <v>-0.07874172185430463</v>
      </c>
      <c r="C38" s="32">
        <f t="shared" si="2"/>
        <v>0</v>
      </c>
      <c r="D38" s="35">
        <f t="shared" si="3"/>
        <v>0</v>
      </c>
      <c r="E38" s="32">
        <f t="shared" si="4"/>
        <v>0</v>
      </c>
      <c r="F38" s="35">
        <f t="shared" si="5"/>
        <v>0</v>
      </c>
      <c r="G38" s="92">
        <f>IF(COUNT($B$16:B38)&lt;$G$6+1,1/$G$6,0)</f>
        <v>0</v>
      </c>
      <c r="H38" s="122"/>
      <c r="I38" s="124">
        <f t="shared" si="6"/>
        <v>0</v>
      </c>
      <c r="J38"/>
      <c r="K38"/>
      <c r="L38"/>
      <c r="M38"/>
      <c r="N38"/>
      <c r="O38"/>
      <c r="P38"/>
    </row>
    <row r="39" spans="1:16" ht="12.75">
      <c r="A39" s="199">
        <v>24</v>
      </c>
      <c r="B39" s="196">
        <v>-0.21315673289183223</v>
      </c>
      <c r="C39" s="32">
        <f t="shared" si="2"/>
        <v>0</v>
      </c>
      <c r="D39" s="35">
        <f t="shared" si="3"/>
        <v>0</v>
      </c>
      <c r="E39" s="32">
        <f t="shared" si="4"/>
        <v>0</v>
      </c>
      <c r="F39" s="35">
        <f t="shared" si="5"/>
        <v>0</v>
      </c>
      <c r="G39" s="92">
        <f>IF(COUNT($B$16:B39)&lt;$G$6+1,1/$G$6,0)</f>
        <v>0</v>
      </c>
      <c r="H39" s="122"/>
      <c r="I39" s="124">
        <f t="shared" si="6"/>
        <v>0</v>
      </c>
      <c r="J39"/>
      <c r="K39"/>
      <c r="L39"/>
      <c r="M39"/>
      <c r="N39"/>
      <c r="O39"/>
      <c r="P39"/>
    </row>
    <row r="40" spans="1:16" ht="12.75">
      <c r="A40" s="199">
        <v>25</v>
      </c>
      <c r="B40" s="196">
        <v>-0.43249448123620315</v>
      </c>
      <c r="C40" s="32">
        <f t="shared" si="2"/>
        <v>0</v>
      </c>
      <c r="D40" s="35">
        <f t="shared" si="3"/>
        <v>0</v>
      </c>
      <c r="E40" s="32">
        <f t="shared" si="4"/>
        <v>0</v>
      </c>
      <c r="F40" s="35">
        <f t="shared" si="5"/>
        <v>0</v>
      </c>
      <c r="G40" s="92">
        <f>IF(COUNT($B$16:B40)&lt;$G$6+1,1/$G$6,0)</f>
        <v>0</v>
      </c>
      <c r="H40" s="122"/>
      <c r="I40" s="124">
        <f t="shared" si="6"/>
        <v>0</v>
      </c>
      <c r="J40"/>
      <c r="K40"/>
      <c r="L40"/>
      <c r="M40"/>
      <c r="N40"/>
      <c r="O40"/>
      <c r="P40"/>
    </row>
    <row r="41" spans="1:9" ht="12.75">
      <c r="A41" s="199">
        <v>26</v>
      </c>
      <c r="B41" s="196">
        <v>-0.4476747608535689</v>
      </c>
      <c r="C41" s="32">
        <f t="shared" si="2"/>
        <v>0</v>
      </c>
      <c r="D41" s="35">
        <f t="shared" si="3"/>
        <v>0</v>
      </c>
      <c r="E41" s="32">
        <f t="shared" si="4"/>
        <v>0</v>
      </c>
      <c r="F41" s="35">
        <f t="shared" si="5"/>
        <v>0</v>
      </c>
      <c r="G41" s="92">
        <f>IF(COUNT($B$16:B41)&lt;$G$6+1,1/$G$6,0)</f>
        <v>0</v>
      </c>
      <c r="H41" s="122"/>
      <c r="I41" s="124">
        <f t="shared" si="6"/>
        <v>0</v>
      </c>
    </row>
    <row r="42" spans="1:9" ht="12.75">
      <c r="A42" s="199">
        <v>27</v>
      </c>
      <c r="B42" s="196">
        <v>-0.6160779985283297</v>
      </c>
      <c r="C42" s="32">
        <f t="shared" si="2"/>
        <v>0</v>
      </c>
      <c r="D42" s="35">
        <f t="shared" si="3"/>
        <v>0</v>
      </c>
      <c r="E42" s="32">
        <f t="shared" si="4"/>
        <v>0</v>
      </c>
      <c r="F42" s="35">
        <f t="shared" si="5"/>
        <v>0</v>
      </c>
      <c r="G42" s="92">
        <f>IF(COUNT($B$16:B42)&lt;$G$6+1,1/$G$6,0)</f>
        <v>0</v>
      </c>
      <c r="H42" s="122"/>
      <c r="I42" s="124">
        <f t="shared" si="6"/>
        <v>0</v>
      </c>
    </row>
    <row r="43" spans="1:9" ht="12.75">
      <c r="A43" s="199">
        <v>28</v>
      </c>
      <c r="B43" s="196">
        <v>-0.7011773362766741</v>
      </c>
      <c r="C43" s="32">
        <f t="shared" si="2"/>
        <v>0</v>
      </c>
      <c r="D43" s="35">
        <f t="shared" si="3"/>
        <v>0</v>
      </c>
      <c r="E43" s="32">
        <f t="shared" si="4"/>
        <v>0</v>
      </c>
      <c r="F43" s="35">
        <f t="shared" si="5"/>
        <v>0</v>
      </c>
      <c r="G43" s="92">
        <f>IF(COUNT($B$16:B43)&lt;$G$6+1,1/$G$6,0)</f>
        <v>0</v>
      </c>
      <c r="H43" s="122"/>
      <c r="I43" s="124">
        <f t="shared" si="6"/>
        <v>0</v>
      </c>
    </row>
    <row r="44" spans="1:9" ht="12.75">
      <c r="A44" s="199">
        <v>29</v>
      </c>
      <c r="B44" s="196">
        <v>-0.83</v>
      </c>
      <c r="C44" s="32">
        <f t="shared" si="2"/>
        <v>0</v>
      </c>
      <c r="D44" s="35">
        <f t="shared" si="3"/>
        <v>0</v>
      </c>
      <c r="E44" s="32">
        <f t="shared" si="4"/>
        <v>0</v>
      </c>
      <c r="F44" s="35">
        <f t="shared" si="5"/>
        <v>0</v>
      </c>
      <c r="G44" s="92">
        <f>IF(COUNT($B$16:B44)&lt;$G$6+1,1/$G$6,0)</f>
        <v>0</v>
      </c>
      <c r="H44" s="122"/>
      <c r="I44" s="124">
        <f t="shared" si="6"/>
        <v>0</v>
      </c>
    </row>
    <row r="45" spans="1:9" ht="12.75">
      <c r="A45" s="199">
        <v>30</v>
      </c>
      <c r="B45" s="196">
        <v>-0.9424135393671818</v>
      </c>
      <c r="C45" s="32">
        <f t="shared" si="2"/>
        <v>0</v>
      </c>
      <c r="D45" s="35">
        <f t="shared" si="3"/>
        <v>0</v>
      </c>
      <c r="E45" s="32">
        <f t="shared" si="4"/>
        <v>0</v>
      </c>
      <c r="F45" s="35">
        <f t="shared" si="5"/>
        <v>0</v>
      </c>
      <c r="G45" s="92">
        <f>IF(COUNT($B$16:B45)&lt;$G$6+1,1/$G$6,0)</f>
        <v>0</v>
      </c>
      <c r="H45" s="122"/>
      <c r="I45" s="124">
        <f t="shared" si="6"/>
        <v>0</v>
      </c>
    </row>
    <row r="46" spans="1:9" ht="12.75">
      <c r="A46" s="199">
        <v>31</v>
      </c>
      <c r="B46" s="196">
        <v>-1.1447682119205298</v>
      </c>
      <c r="C46" s="32">
        <f t="shared" si="2"/>
        <v>0</v>
      </c>
      <c r="D46" s="35">
        <f t="shared" si="3"/>
        <v>0</v>
      </c>
      <c r="E46" s="32">
        <f t="shared" si="4"/>
        <v>0</v>
      </c>
      <c r="F46" s="35">
        <f t="shared" si="5"/>
        <v>0</v>
      </c>
      <c r="G46" s="92">
        <f>IF(COUNT($B$16:B46)&lt;$G$6+1,1/$G$6,0)</f>
        <v>0</v>
      </c>
      <c r="H46" s="122"/>
      <c r="I46" s="124">
        <f t="shared" si="6"/>
        <v>0</v>
      </c>
    </row>
    <row r="47" spans="1:9" ht="12.75">
      <c r="A47" s="199">
        <v>32</v>
      </c>
      <c r="B47" s="196">
        <v>-1.1682413539367182</v>
      </c>
      <c r="C47" s="32">
        <f t="shared" si="2"/>
        <v>0</v>
      </c>
      <c r="D47" s="35">
        <f t="shared" si="3"/>
        <v>0</v>
      </c>
      <c r="E47" s="32">
        <f t="shared" si="4"/>
        <v>0</v>
      </c>
      <c r="F47" s="35">
        <f t="shared" si="5"/>
        <v>0</v>
      </c>
      <c r="G47" s="92">
        <f>IF(COUNT($B$16:B47)&lt;$G$6+1,1/$G$6,0)</f>
        <v>0</v>
      </c>
      <c r="H47" s="122"/>
      <c r="I47" s="124">
        <f t="shared" si="6"/>
        <v>0</v>
      </c>
    </row>
    <row r="48" spans="1:13" ht="12.75">
      <c r="A48" s="199">
        <v>33</v>
      </c>
      <c r="B48" s="196">
        <v>-1.3168064753495217</v>
      </c>
      <c r="C48" s="32">
        <f t="shared" si="2"/>
        <v>0</v>
      </c>
      <c r="D48" s="35">
        <f t="shared" si="3"/>
        <v>0</v>
      </c>
      <c r="E48" s="32">
        <f t="shared" si="4"/>
        <v>0</v>
      </c>
      <c r="F48" s="35">
        <f t="shared" si="5"/>
        <v>0</v>
      </c>
      <c r="G48" s="92">
        <f>IF(COUNT($B$16:B48)&lt;$G$6+1,1/$G$6,0)</f>
        <v>0</v>
      </c>
      <c r="H48" s="122"/>
      <c r="I48" s="124">
        <f t="shared" si="6"/>
        <v>0</v>
      </c>
      <c r="J48"/>
      <c r="K48"/>
      <c r="L48"/>
      <c r="M48"/>
    </row>
    <row r="49" spans="1:13" ht="12.75">
      <c r="A49" s="199">
        <v>34</v>
      </c>
      <c r="B49" s="196">
        <v>-1.8666961000735836</v>
      </c>
      <c r="C49" s="32">
        <f t="shared" si="2"/>
        <v>0</v>
      </c>
      <c r="D49" s="35">
        <f t="shared" si="3"/>
        <v>0</v>
      </c>
      <c r="E49" s="32">
        <f t="shared" si="4"/>
        <v>0</v>
      </c>
      <c r="F49" s="35">
        <f t="shared" si="5"/>
        <v>0</v>
      </c>
      <c r="G49" s="92">
        <f>IF(COUNT($B$16:B49)&lt;$G$6+1,1/$G$6,0)</f>
        <v>0</v>
      </c>
      <c r="H49" s="122"/>
      <c r="I49" s="124">
        <f t="shared" si="6"/>
        <v>0</v>
      </c>
      <c r="J49"/>
      <c r="K49"/>
      <c r="L49"/>
      <c r="M49"/>
    </row>
    <row r="50" spans="1:13" ht="12.75">
      <c r="A50" s="199">
        <v>35</v>
      </c>
      <c r="B50" s="196">
        <v>-1.9817807211184697</v>
      </c>
      <c r="C50" s="32">
        <f t="shared" si="2"/>
        <v>0</v>
      </c>
      <c r="D50" s="35">
        <f t="shared" si="3"/>
        <v>0</v>
      </c>
      <c r="E50" s="32">
        <f t="shared" si="4"/>
        <v>0</v>
      </c>
      <c r="F50" s="35">
        <f t="shared" si="5"/>
        <v>0</v>
      </c>
      <c r="G50" s="92">
        <f>IF(COUNT($B$16:B50)&lt;$G$6+1,1/$G$6,0)</f>
        <v>0</v>
      </c>
      <c r="H50" s="122"/>
      <c r="I50" s="124">
        <f t="shared" si="6"/>
        <v>0</v>
      </c>
      <c r="J50"/>
      <c r="K50"/>
      <c r="L50"/>
      <c r="M50"/>
    </row>
    <row r="51" spans="1:13" ht="13.5" thickBot="1">
      <c r="A51" s="200" t="s">
        <v>297</v>
      </c>
      <c r="B51" s="197">
        <v>-2.1218101545253862</v>
      </c>
      <c r="C51" s="89">
        <f t="shared" si="2"/>
        <v>0</v>
      </c>
      <c r="D51" s="90">
        <f t="shared" si="3"/>
        <v>0</v>
      </c>
      <c r="E51" s="89">
        <f t="shared" si="4"/>
        <v>0</v>
      </c>
      <c r="F51" s="90">
        <f t="shared" si="5"/>
        <v>0</v>
      </c>
      <c r="G51" s="93">
        <f>IF(COUNT($B$16:B51)&lt;$G$6+1,1/$G$6,0)</f>
        <v>0</v>
      </c>
      <c r="H51" s="144"/>
      <c r="I51" s="125">
        <f t="shared" si="6"/>
        <v>0</v>
      </c>
      <c r="K51" s="13"/>
      <c r="L51" s="13"/>
      <c r="M51" s="13"/>
    </row>
    <row r="52" spans="1:8" ht="13.5" thickTop="1">
      <c r="A52" s="209" t="s">
        <v>143</v>
      </c>
      <c r="B52" s="209"/>
      <c r="C52" s="210"/>
      <c r="D52" s="210"/>
      <c r="E52" s="210"/>
      <c r="F52" s="210"/>
      <c r="G52" s="210"/>
      <c r="H52" s="119"/>
    </row>
    <row r="53" ht="12.75">
      <c r="A53" s="80" t="s">
        <v>313</v>
      </c>
    </row>
    <row r="54" spans="2:9" ht="12.75">
      <c r="B54" s="79"/>
      <c r="C54" s="75" t="s">
        <v>128</v>
      </c>
      <c r="D54" s="109">
        <f>COUNTIF(D16:D51,"&gt;0")</f>
        <v>21</v>
      </c>
      <c r="E54" s="75" t="s">
        <v>128</v>
      </c>
      <c r="F54" s="109">
        <f>COUNTIF(F16:F51,"&gt;0")</f>
        <v>5</v>
      </c>
      <c r="G54" s="109">
        <f>COUNTIF(G16:G51,"&gt;0")</f>
        <v>11</v>
      </c>
      <c r="H54" s="109"/>
      <c r="I54" s="109">
        <f>COUNTIF(I16:I51,"&gt;0")</f>
        <v>6</v>
      </c>
    </row>
    <row r="55" spans="2:9" ht="12.75">
      <c r="B55" s="108"/>
      <c r="C55" s="75" t="s">
        <v>142</v>
      </c>
      <c r="D55" s="184">
        <f>SUMIF(D16:D51,"&gt;0",$B16:$B51)</f>
        <v>13.86222958057395</v>
      </c>
      <c r="E55" s="75" t="s">
        <v>142</v>
      </c>
      <c r="F55" s="109">
        <f>SUMIF(F16:F51,"&gt;0",$B16:$B51)</f>
        <v>7.791412803532008</v>
      </c>
      <c r="G55" s="109">
        <f>SUMIF(G16:G51,"&gt;0",$B16:$B51)</f>
        <v>11.975739514348785</v>
      </c>
      <c r="H55" s="109"/>
      <c r="I55" s="109">
        <f>SUMIF(I16:I51,"&gt;0",$B16:$B51)</f>
        <v>8.675717439293598</v>
      </c>
    </row>
    <row r="56" spans="2:9" ht="12.75">
      <c r="B56" s="108"/>
      <c r="C56" s="82" t="s">
        <v>145</v>
      </c>
      <c r="D56" s="184">
        <f>(D55-D54*$C$7)/2</f>
        <v>6.826114790286975</v>
      </c>
      <c r="E56" s="82" t="s">
        <v>145</v>
      </c>
      <c r="F56" s="109">
        <f>(F55-F54*$E$7)/2</f>
        <v>1.3957064017660041</v>
      </c>
      <c r="G56" s="111">
        <v>3.8</v>
      </c>
      <c r="H56" s="111"/>
      <c r="I56" s="112">
        <v>1</v>
      </c>
    </row>
    <row r="57" spans="1:10" ht="12.75">
      <c r="A57" s="80"/>
      <c r="B57" s="80"/>
      <c r="C57" s="75" t="s">
        <v>87</v>
      </c>
      <c r="D57" s="110">
        <f>D$5-D56/D$6</f>
        <v>0.5783438933056297</v>
      </c>
      <c r="E57" s="75" t="s">
        <v>87</v>
      </c>
      <c r="F57" s="110">
        <f>F$5-F56/F$6</f>
        <v>1.2954428586104705</v>
      </c>
      <c r="G57" s="110">
        <f>G$5-G56/G$6</f>
        <v>0.7432490467589807</v>
      </c>
      <c r="H57" s="110"/>
      <c r="I57" s="110">
        <f>I$5-I56/I$6</f>
        <v>1.2792862398822664</v>
      </c>
      <c r="J57" s="80"/>
    </row>
    <row r="58" spans="1:10" ht="12.75">
      <c r="A58" s="42"/>
      <c r="B58" s="75" t="s">
        <v>77</v>
      </c>
      <c r="C58" s="81"/>
      <c r="D58" s="77">
        <f>D$5</f>
        <v>1.1466877866112597</v>
      </c>
      <c r="E58" s="81"/>
      <c r="F58" s="77">
        <f>F$5</f>
        <v>1.5908857172209405</v>
      </c>
      <c r="G58" s="77">
        <f>G$5</f>
        <v>1.0887035922135262</v>
      </c>
      <c r="H58" s="77"/>
      <c r="I58" s="77">
        <f>I$5</f>
        <v>1.4459529065489332</v>
      </c>
      <c r="J58" s="80"/>
    </row>
    <row r="59" spans="1:10" ht="14.25">
      <c r="A59" s="113"/>
      <c r="B59" s="75" t="s">
        <v>78</v>
      </c>
      <c r="C59" s="81"/>
      <c r="D59" s="77">
        <f>D$6</f>
        <v>12.010535998873124</v>
      </c>
      <c r="E59" s="81"/>
      <c r="F59" s="77">
        <f>F$6</f>
        <v>4.724116224471645</v>
      </c>
      <c r="G59" s="77">
        <f>G$6</f>
        <v>11</v>
      </c>
      <c r="H59" s="77"/>
      <c r="I59" s="77">
        <f>I$6</f>
        <v>5.999999999999999</v>
      </c>
      <c r="J59" s="80"/>
    </row>
    <row r="60" spans="1:10" ht="14.25">
      <c r="A60" s="114"/>
      <c r="B60" s="76" t="s">
        <v>79</v>
      </c>
      <c r="C60" s="115">
        <f>C7</f>
        <v>0.01</v>
      </c>
      <c r="D60" s="81"/>
      <c r="E60" s="115">
        <v>1</v>
      </c>
      <c r="F60" s="81"/>
      <c r="G60" s="81"/>
      <c r="H60" s="81"/>
      <c r="I60" s="81"/>
      <c r="J60" s="80"/>
    </row>
    <row r="61" spans="2:10" ht="12.75">
      <c r="B61" s="72" t="s">
        <v>147</v>
      </c>
      <c r="D61" s="183">
        <f>1-0.5/D59</f>
        <v>0.9583698845707709</v>
      </c>
      <c r="F61" s="116">
        <f>1-0.5/F59</f>
        <v>0.8941600976263193</v>
      </c>
      <c r="G61" s="116">
        <f>1-0.5/G59</f>
        <v>0.9545454545454546</v>
      </c>
      <c r="H61" s="116"/>
      <c r="I61" s="116">
        <f>1-0.5/I59</f>
        <v>0.9166666666666666</v>
      </c>
      <c r="J61" s="80"/>
    </row>
    <row r="62" ht="12.75">
      <c r="J62" s="80"/>
    </row>
    <row r="63" spans="1:10" ht="12.75">
      <c r="A63" s="80" t="s">
        <v>70</v>
      </c>
      <c r="B63" s="43">
        <f>B$10</f>
        <v>0.0003899926416472965</v>
      </c>
      <c r="C63" s="43"/>
      <c r="D63" s="43">
        <f>D$10</f>
        <v>1.0000000000000002</v>
      </c>
      <c r="E63" s="43"/>
      <c r="F63" s="43">
        <f>F$10</f>
        <v>1</v>
      </c>
      <c r="G63" s="43">
        <f>G$10</f>
        <v>1.0000000000000002</v>
      </c>
      <c r="H63" s="43"/>
      <c r="I63" s="43">
        <f>I$10</f>
        <v>0.9999999999999999</v>
      </c>
      <c r="J63" s="80"/>
    </row>
    <row r="64" spans="1:9" ht="12.75">
      <c r="A64" s="80" t="s">
        <v>72</v>
      </c>
      <c r="B64" s="43">
        <f>B$11</f>
        <v>1.0833128934647126E-05</v>
      </c>
      <c r="C64" s="43"/>
      <c r="D64" s="43"/>
      <c r="E64" s="43"/>
      <c r="F64" s="43"/>
      <c r="G64" s="43"/>
      <c r="H64" s="43"/>
      <c r="I64" s="43"/>
    </row>
    <row r="65" ht="12.75"/>
  </sheetData>
  <mergeCells count="4">
    <mergeCell ref="A52:G52"/>
    <mergeCell ref="E3:F3"/>
    <mergeCell ref="E14:F14"/>
    <mergeCell ref="H14:I14"/>
  </mergeCells>
  <printOptions gridLines="1"/>
  <pageMargins left="0.75" right="0.75" top="1" bottom="1" header="0.5" footer="0.5"/>
  <pageSetup horizontalDpi="600" verticalDpi="600" orientation="portrait" paperSize="9" r:id="rId4"/>
  <headerFooter alignWithMargins="0">
    <oddHeader>&amp;C&amp;F</oddHeader>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8"/>
  <dimension ref="A1:H145"/>
  <sheetViews>
    <sheetView workbookViewId="0" topLeftCell="A1">
      <selection activeCell="B3" sqref="B3"/>
    </sheetView>
  </sheetViews>
  <sheetFormatPr defaultColWidth="9.140625" defaultRowHeight="12.75"/>
  <cols>
    <col min="1" max="1" width="4.28125" style="0" customWidth="1"/>
    <col min="2" max="2" width="10.57421875" style="0" customWidth="1"/>
    <col min="3" max="3" width="9.00390625" style="56" customWidth="1"/>
    <col min="4" max="4" width="11.8515625" style="0" customWidth="1"/>
    <col min="5" max="5" width="13.140625" style="0" customWidth="1"/>
    <col min="6" max="6" width="4.7109375" style="0" customWidth="1"/>
  </cols>
  <sheetData>
    <row r="1" spans="1:3" ht="17.25">
      <c r="A1" s="131" t="s">
        <v>319</v>
      </c>
      <c r="C1" s="129"/>
    </row>
    <row r="2" spans="2:5" ht="14.25">
      <c r="B2" s="130"/>
      <c r="C2" s="136" t="s">
        <v>217</v>
      </c>
      <c r="D2" s="132" t="s">
        <v>294</v>
      </c>
      <c r="E2" s="132"/>
    </row>
    <row r="3" spans="2:8" ht="27">
      <c r="B3" s="134" t="s">
        <v>20</v>
      </c>
      <c r="C3" s="137" t="s">
        <v>21</v>
      </c>
      <c r="D3" s="135" t="s">
        <v>295</v>
      </c>
      <c r="E3" s="135" t="s">
        <v>150</v>
      </c>
      <c r="H3" t="s">
        <v>296</v>
      </c>
    </row>
    <row r="4" spans="2:5" ht="12.75">
      <c r="B4" s="192" t="s">
        <v>285</v>
      </c>
      <c r="C4" s="138">
        <v>1</v>
      </c>
      <c r="D4" s="159">
        <v>2.032922</v>
      </c>
      <c r="E4" s="160">
        <f aca="true" t="shared" si="0" ref="E4:E67">(D4-D$144)/D$145</f>
        <v>3.9215337188255464</v>
      </c>
    </row>
    <row r="5" spans="2:5" ht="12.75">
      <c r="B5" s="192" t="s">
        <v>262</v>
      </c>
      <c r="C5" s="138">
        <v>2</v>
      </c>
      <c r="D5" s="161">
        <v>1.82118</v>
      </c>
      <c r="E5" s="162">
        <f t="shared" si="0"/>
        <v>3.5065507225106476</v>
      </c>
    </row>
    <row r="6" spans="2:5" ht="12.75">
      <c r="B6" s="192" t="s">
        <v>258</v>
      </c>
      <c r="C6" s="138">
        <v>3</v>
      </c>
      <c r="D6" s="161">
        <v>1.43002</v>
      </c>
      <c r="E6" s="162">
        <f t="shared" si="0"/>
        <v>2.7399349880860377</v>
      </c>
    </row>
    <row r="7" spans="2:5" ht="12.75">
      <c r="B7" s="192" t="s">
        <v>231</v>
      </c>
      <c r="C7" s="138">
        <v>4</v>
      </c>
      <c r="D7" s="161">
        <v>1.252077</v>
      </c>
      <c r="E7" s="162">
        <f t="shared" si="0"/>
        <v>2.3911930317747623</v>
      </c>
    </row>
    <row r="8" spans="2:5" ht="12.75">
      <c r="B8" s="192" t="s">
        <v>252</v>
      </c>
      <c r="C8" s="138">
        <v>5</v>
      </c>
      <c r="D8" s="161">
        <v>1.130066</v>
      </c>
      <c r="E8" s="162">
        <f t="shared" si="0"/>
        <v>2.1520695212601875</v>
      </c>
    </row>
    <row r="9" spans="2:5" ht="12.75">
      <c r="B9" s="192" t="s">
        <v>278</v>
      </c>
      <c r="C9" s="138">
        <v>6</v>
      </c>
      <c r="D9" s="161">
        <v>1.011949</v>
      </c>
      <c r="E9" s="162">
        <f t="shared" si="0"/>
        <v>1.920577674693484</v>
      </c>
    </row>
    <row r="10" spans="2:5" ht="12.75">
      <c r="B10" s="192" t="s">
        <v>290</v>
      </c>
      <c r="C10" s="138">
        <v>7</v>
      </c>
      <c r="D10" s="161">
        <v>0.982076</v>
      </c>
      <c r="E10" s="162">
        <f t="shared" si="0"/>
        <v>1.8620310139038674</v>
      </c>
    </row>
    <row r="11" spans="2:5" ht="12.75">
      <c r="B11" s="192" t="s">
        <v>280</v>
      </c>
      <c r="C11" s="138">
        <v>8</v>
      </c>
      <c r="D11" s="161">
        <v>0.952942</v>
      </c>
      <c r="E11" s="162">
        <f t="shared" si="0"/>
        <v>1.8049326837915691</v>
      </c>
    </row>
    <row r="12" spans="2:5" ht="12.75">
      <c r="B12" s="192" t="s">
        <v>286</v>
      </c>
      <c r="C12" s="138">
        <v>9</v>
      </c>
      <c r="D12" s="161">
        <v>0.931035</v>
      </c>
      <c r="E12" s="162">
        <f t="shared" si="0"/>
        <v>1.7619982045655749</v>
      </c>
    </row>
    <row r="13" spans="2:5" ht="12.75">
      <c r="B13" s="192" t="s">
        <v>288</v>
      </c>
      <c r="C13" s="138">
        <v>10</v>
      </c>
      <c r="D13" s="161">
        <v>0.8923575</v>
      </c>
      <c r="E13" s="162">
        <f t="shared" si="0"/>
        <v>1.6861960262543778</v>
      </c>
    </row>
    <row r="14" spans="2:5" ht="12.75">
      <c r="B14" s="192" t="s">
        <v>272</v>
      </c>
      <c r="C14" s="138">
        <v>11</v>
      </c>
      <c r="D14" s="161">
        <v>0.793259</v>
      </c>
      <c r="E14" s="162">
        <f t="shared" si="0"/>
        <v>1.4919776262189008</v>
      </c>
    </row>
    <row r="15" spans="2:5" ht="12.75">
      <c r="B15" s="192" t="s">
        <v>251</v>
      </c>
      <c r="C15" s="138">
        <v>12</v>
      </c>
      <c r="D15" s="161">
        <v>0.774185</v>
      </c>
      <c r="E15" s="162">
        <f t="shared" si="0"/>
        <v>1.4545954078979706</v>
      </c>
    </row>
    <row r="16" spans="2:5" ht="12.75">
      <c r="B16" s="192" t="s">
        <v>238</v>
      </c>
      <c r="C16" s="138">
        <v>13</v>
      </c>
      <c r="D16" s="161">
        <v>0.702673</v>
      </c>
      <c r="E16" s="162">
        <f t="shared" si="0"/>
        <v>1.3144424669015171</v>
      </c>
    </row>
    <row r="17" spans="2:5" ht="12.75">
      <c r="B17" s="192" t="s">
        <v>268</v>
      </c>
      <c r="C17" s="138">
        <v>14</v>
      </c>
      <c r="D17" s="161">
        <v>0.701046</v>
      </c>
      <c r="E17" s="162">
        <f t="shared" si="0"/>
        <v>1.311253787588937</v>
      </c>
    </row>
    <row r="18" spans="2:5" ht="12.75">
      <c r="B18" s="192" t="s">
        <v>265</v>
      </c>
      <c r="C18" s="138">
        <v>15</v>
      </c>
      <c r="D18" s="161">
        <v>0.6466015</v>
      </c>
      <c r="E18" s="162">
        <f t="shared" si="0"/>
        <v>1.2045506217415072</v>
      </c>
    </row>
    <row r="19" spans="2:5" ht="12.75">
      <c r="B19" s="192" t="s">
        <v>276</v>
      </c>
      <c r="C19" s="138">
        <v>16</v>
      </c>
      <c r="D19" s="161">
        <v>0.602603</v>
      </c>
      <c r="E19" s="162">
        <f t="shared" si="0"/>
        <v>1.1183200705832057</v>
      </c>
    </row>
    <row r="20" spans="2:5" ht="12.75">
      <c r="B20" s="192" t="s">
        <v>271</v>
      </c>
      <c r="C20" s="138">
        <v>17</v>
      </c>
      <c r="D20" s="161">
        <v>0.500133</v>
      </c>
      <c r="E20" s="162">
        <f t="shared" si="0"/>
        <v>0.9174940293047268</v>
      </c>
    </row>
    <row r="21" spans="2:5" ht="12.75">
      <c r="B21" s="192" t="s">
        <v>291</v>
      </c>
      <c r="C21" s="138">
        <v>18</v>
      </c>
      <c r="D21" s="161">
        <v>0.473386</v>
      </c>
      <c r="E21" s="162">
        <f t="shared" si="0"/>
        <v>0.8650738660757281</v>
      </c>
    </row>
    <row r="22" spans="2:5" ht="12.75">
      <c r="B22" s="192" t="s">
        <v>221</v>
      </c>
      <c r="C22" s="138">
        <v>19</v>
      </c>
      <c r="D22" s="161">
        <v>0.466722</v>
      </c>
      <c r="E22" s="162">
        <f t="shared" si="0"/>
        <v>0.8520134119029968</v>
      </c>
    </row>
    <row r="23" spans="2:5" ht="12.75">
      <c r="B23" s="192" t="s">
        <v>263</v>
      </c>
      <c r="C23" s="138">
        <v>20</v>
      </c>
      <c r="D23" s="161">
        <v>0.461527</v>
      </c>
      <c r="E23" s="162">
        <f t="shared" si="0"/>
        <v>0.8418319804163013</v>
      </c>
    </row>
    <row r="24" spans="2:5" ht="12.75">
      <c r="B24" s="192" t="s">
        <v>227</v>
      </c>
      <c r="C24" s="138">
        <v>21</v>
      </c>
      <c r="D24" s="161">
        <v>0.4605945</v>
      </c>
      <c r="E24" s="162">
        <f t="shared" si="0"/>
        <v>0.8400044183640696</v>
      </c>
    </row>
    <row r="25" spans="2:5" ht="12.75">
      <c r="B25" s="192" t="s">
        <v>284</v>
      </c>
      <c r="C25" s="138">
        <v>22</v>
      </c>
      <c r="D25" s="161">
        <v>0.438716</v>
      </c>
      <c r="E25" s="162">
        <f t="shared" si="0"/>
        <v>0.7971257949219772</v>
      </c>
    </row>
    <row r="26" spans="2:5" ht="12.75">
      <c r="B26" s="192" t="s">
        <v>273</v>
      </c>
      <c r="C26" s="138">
        <v>23</v>
      </c>
      <c r="D26" s="161">
        <v>0.400886</v>
      </c>
      <c r="E26" s="162">
        <f t="shared" si="0"/>
        <v>0.7229845912373393</v>
      </c>
    </row>
    <row r="27" spans="2:5" ht="12.75">
      <c r="B27" s="192" t="s">
        <v>219</v>
      </c>
      <c r="C27" s="138">
        <v>24</v>
      </c>
      <c r="D27" s="161">
        <v>0.3959415</v>
      </c>
      <c r="E27" s="162">
        <f t="shared" si="0"/>
        <v>0.7132941026933611</v>
      </c>
    </row>
    <row r="28" spans="2:5" ht="12.75">
      <c r="B28" s="192" t="s">
        <v>274</v>
      </c>
      <c r="C28" s="138">
        <v>25</v>
      </c>
      <c r="D28" s="161">
        <v>0.3953</v>
      </c>
      <c r="E28" s="162">
        <f t="shared" si="0"/>
        <v>0.7120368575925496</v>
      </c>
    </row>
    <row r="29" spans="2:5" ht="12.75">
      <c r="B29" s="192" t="s">
        <v>287</v>
      </c>
      <c r="C29" s="138">
        <v>26</v>
      </c>
      <c r="D29" s="161">
        <v>0.385444</v>
      </c>
      <c r="E29" s="162">
        <f t="shared" si="0"/>
        <v>0.6927205556227958</v>
      </c>
    </row>
    <row r="30" spans="2:5" ht="12.75">
      <c r="B30" s="192" t="s">
        <v>269</v>
      </c>
      <c r="C30" s="138">
        <v>27</v>
      </c>
      <c r="D30" s="161">
        <v>0.370626</v>
      </c>
      <c r="E30" s="162">
        <f t="shared" si="0"/>
        <v>0.6636794676978958</v>
      </c>
    </row>
    <row r="31" spans="2:5" ht="12.75">
      <c r="B31" s="192" t="s">
        <v>253</v>
      </c>
      <c r="C31" s="138">
        <v>28</v>
      </c>
      <c r="D31" s="161">
        <v>0.3541035</v>
      </c>
      <c r="E31" s="162">
        <f t="shared" si="0"/>
        <v>0.6312978119252436</v>
      </c>
    </row>
    <row r="32" spans="2:5" ht="12.75">
      <c r="B32" s="192" t="s">
        <v>250</v>
      </c>
      <c r="C32" s="138">
        <v>29</v>
      </c>
      <c r="D32" s="161">
        <v>0.318165</v>
      </c>
      <c r="E32" s="162">
        <f t="shared" si="0"/>
        <v>0.5608636684248375</v>
      </c>
    </row>
    <row r="33" spans="2:7" ht="12.75">
      <c r="B33" s="192" t="s">
        <v>279</v>
      </c>
      <c r="C33" s="138">
        <v>30</v>
      </c>
      <c r="D33" s="161">
        <v>0.312272</v>
      </c>
      <c r="E33" s="162">
        <f t="shared" si="0"/>
        <v>0.5493142601955598</v>
      </c>
      <c r="F33" s="127"/>
      <c r="G33" s="127"/>
    </row>
    <row r="34" spans="2:5" ht="12.75">
      <c r="B34" s="192" t="s">
        <v>289</v>
      </c>
      <c r="C34" s="138">
        <v>31</v>
      </c>
      <c r="D34" s="161">
        <v>0.299222</v>
      </c>
      <c r="E34" s="162">
        <f t="shared" si="0"/>
        <v>0.5237381907246499</v>
      </c>
    </row>
    <row r="35" spans="2:5" ht="12.75">
      <c r="B35" s="192" t="s">
        <v>249</v>
      </c>
      <c r="C35" s="138">
        <v>32</v>
      </c>
      <c r="D35" s="161">
        <v>0.294217</v>
      </c>
      <c r="E35" s="162">
        <f t="shared" si="0"/>
        <v>0.5139291311306342</v>
      </c>
    </row>
    <row r="36" spans="2:5" ht="12.75">
      <c r="B36" s="192" t="s">
        <v>233</v>
      </c>
      <c r="C36" s="138">
        <v>33</v>
      </c>
      <c r="D36" s="161">
        <v>0.289278</v>
      </c>
      <c r="E36" s="162">
        <f t="shared" si="0"/>
        <v>0.5042494217730231</v>
      </c>
    </row>
    <row r="37" spans="2:5" ht="12.75">
      <c r="B37" s="192" t="s">
        <v>257</v>
      </c>
      <c r="C37" s="138">
        <v>34</v>
      </c>
      <c r="D37" s="161">
        <v>0.287707</v>
      </c>
      <c r="E37" s="162">
        <f t="shared" si="0"/>
        <v>0.5011704941761802</v>
      </c>
    </row>
    <row r="38" spans="2:5" ht="12.75">
      <c r="B38" s="192" t="s">
        <v>232</v>
      </c>
      <c r="C38" s="138">
        <v>35</v>
      </c>
      <c r="D38" s="161">
        <v>0.27445</v>
      </c>
      <c r="E38" s="162">
        <f t="shared" si="0"/>
        <v>0.4751887353274558</v>
      </c>
    </row>
    <row r="39" spans="2:5" ht="12.75">
      <c r="B39" s="192" t="s">
        <v>223</v>
      </c>
      <c r="C39" s="138">
        <v>36</v>
      </c>
      <c r="D39" s="161">
        <v>0.2643235</v>
      </c>
      <c r="E39" s="162">
        <f t="shared" si="0"/>
        <v>0.4553422933736496</v>
      </c>
    </row>
    <row r="40" spans="2:5" ht="12.75">
      <c r="B40" s="192" t="s">
        <v>151</v>
      </c>
      <c r="C40" s="138">
        <v>37</v>
      </c>
      <c r="D40" s="161">
        <v>0.239011</v>
      </c>
      <c r="E40" s="162">
        <f t="shared" si="0"/>
        <v>0.40573353793438455</v>
      </c>
    </row>
    <row r="41" spans="2:5" ht="12.75">
      <c r="B41" s="192" t="s">
        <v>152</v>
      </c>
      <c r="C41" s="138">
        <v>38</v>
      </c>
      <c r="D41" s="161">
        <v>0.226828</v>
      </c>
      <c r="E41" s="162">
        <f t="shared" si="0"/>
        <v>0.381856660205335</v>
      </c>
    </row>
    <row r="42" spans="2:5" ht="12.75">
      <c r="B42" s="192" t="s">
        <v>264</v>
      </c>
      <c r="C42" s="138">
        <v>39</v>
      </c>
      <c r="D42" s="161">
        <v>0.2074735</v>
      </c>
      <c r="E42" s="162">
        <f t="shared" si="0"/>
        <v>0.34392470337968534</v>
      </c>
    </row>
    <row r="43" spans="2:5" ht="12.75">
      <c r="B43" s="192" t="s">
        <v>153</v>
      </c>
      <c r="C43" s="138">
        <v>40</v>
      </c>
      <c r="D43" s="161">
        <v>0.203339</v>
      </c>
      <c r="E43" s="162">
        <f t="shared" si="0"/>
        <v>0.3358216950097636</v>
      </c>
    </row>
    <row r="44" spans="2:5" ht="12.75">
      <c r="B44" s="192" t="s">
        <v>154</v>
      </c>
      <c r="C44" s="138">
        <v>41</v>
      </c>
      <c r="D44" s="161">
        <v>0.186648</v>
      </c>
      <c r="E44" s="162">
        <f t="shared" si="0"/>
        <v>0.30310980416386646</v>
      </c>
    </row>
    <row r="45" spans="2:5" ht="12.75">
      <c r="B45" s="192" t="s">
        <v>155</v>
      </c>
      <c r="C45" s="138">
        <v>42</v>
      </c>
      <c r="D45" s="161">
        <v>0.1847905</v>
      </c>
      <c r="E45" s="162">
        <f t="shared" si="0"/>
        <v>0.2994693789499036</v>
      </c>
    </row>
    <row r="46" spans="2:5" ht="12.75">
      <c r="B46" s="192" t="s">
        <v>156</v>
      </c>
      <c r="C46" s="138">
        <v>43</v>
      </c>
      <c r="D46" s="161">
        <v>0.1845505</v>
      </c>
      <c r="E46" s="162">
        <f t="shared" si="0"/>
        <v>0.2989990144538868</v>
      </c>
    </row>
    <row r="47" spans="2:5" ht="12.75">
      <c r="B47" s="192" t="s">
        <v>157</v>
      </c>
      <c r="C47" s="138">
        <v>44</v>
      </c>
      <c r="D47" s="161">
        <v>0.179639</v>
      </c>
      <c r="E47" s="162">
        <f t="shared" si="0"/>
        <v>0.289373201028111</v>
      </c>
    </row>
    <row r="48" spans="2:5" ht="12.75">
      <c r="B48" s="192" t="s">
        <v>158</v>
      </c>
      <c r="C48" s="138">
        <v>45</v>
      </c>
      <c r="D48" s="161">
        <v>0.169669</v>
      </c>
      <c r="E48" s="162">
        <f t="shared" si="0"/>
        <v>0.2698334759227491</v>
      </c>
    </row>
    <row r="49" spans="2:5" ht="12.75">
      <c r="B49" s="192" t="s">
        <v>267</v>
      </c>
      <c r="C49" s="138">
        <v>46</v>
      </c>
      <c r="D49" s="161">
        <v>0.165835</v>
      </c>
      <c r="E49" s="162">
        <f t="shared" si="0"/>
        <v>0.26231940309888174</v>
      </c>
    </row>
    <row r="50" spans="2:5" ht="12.75">
      <c r="B50" s="192" t="s">
        <v>266</v>
      </c>
      <c r="C50" s="138">
        <v>47</v>
      </c>
      <c r="D50" s="161">
        <v>0.160338</v>
      </c>
      <c r="E50" s="162">
        <f t="shared" si="0"/>
        <v>0.2515460962880318</v>
      </c>
    </row>
    <row r="51" spans="2:5" ht="12.75">
      <c r="B51" s="192" t="s">
        <v>159</v>
      </c>
      <c r="C51" s="138">
        <v>48</v>
      </c>
      <c r="D51" s="161">
        <v>0.157045</v>
      </c>
      <c r="E51" s="162">
        <f t="shared" si="0"/>
        <v>0.24509230343226873</v>
      </c>
    </row>
    <row r="52" spans="2:5" ht="12.75">
      <c r="B52" s="192" t="s">
        <v>160</v>
      </c>
      <c r="C52" s="138">
        <v>49</v>
      </c>
      <c r="D52" s="161">
        <v>0.140217</v>
      </c>
      <c r="E52" s="162">
        <f t="shared" si="0"/>
        <v>0.21211191285322867</v>
      </c>
    </row>
    <row r="53" spans="2:5" ht="12.75">
      <c r="B53" s="192" t="s">
        <v>161</v>
      </c>
      <c r="C53" s="138">
        <v>50</v>
      </c>
      <c r="D53" s="161">
        <v>0.136193</v>
      </c>
      <c r="E53" s="162">
        <f t="shared" si="0"/>
        <v>0.20422546813668138</v>
      </c>
    </row>
    <row r="54" spans="2:5" ht="12.75">
      <c r="B54" s="192" t="s">
        <v>162</v>
      </c>
      <c r="C54" s="138">
        <v>51</v>
      </c>
      <c r="D54" s="161">
        <v>0.135426</v>
      </c>
      <c r="E54" s="162">
        <f t="shared" si="0"/>
        <v>0.20272226160149454</v>
      </c>
    </row>
    <row r="55" spans="2:5" ht="12.75">
      <c r="B55" s="192" t="s">
        <v>163</v>
      </c>
      <c r="C55" s="138">
        <v>52</v>
      </c>
      <c r="D55" s="161">
        <v>0.131597</v>
      </c>
      <c r="E55" s="162">
        <f t="shared" si="0"/>
        <v>0.19521798803796087</v>
      </c>
    </row>
    <row r="56" spans="2:5" ht="12.75">
      <c r="B56" s="192" t="s">
        <v>164</v>
      </c>
      <c r="C56" s="138">
        <v>53</v>
      </c>
      <c r="D56" s="161">
        <v>0.12922</v>
      </c>
      <c r="E56" s="162">
        <f t="shared" si="0"/>
        <v>0.19055941967532847</v>
      </c>
    </row>
    <row r="57" spans="2:5" ht="12.75">
      <c r="B57" s="192" t="s">
        <v>165</v>
      </c>
      <c r="C57" s="138">
        <v>54</v>
      </c>
      <c r="D57" s="161">
        <v>0.12854</v>
      </c>
      <c r="E57" s="162">
        <f t="shared" si="0"/>
        <v>0.1892267202699477</v>
      </c>
    </row>
    <row r="58" spans="2:5" ht="12.75">
      <c r="B58" s="192" t="s">
        <v>166</v>
      </c>
      <c r="C58" s="138">
        <v>55</v>
      </c>
      <c r="D58" s="161">
        <v>0.126122</v>
      </c>
      <c r="E58" s="162">
        <f t="shared" si="0"/>
        <v>0.1844877979725791</v>
      </c>
    </row>
    <row r="59" spans="2:5" ht="12.75">
      <c r="B59" s="192" t="s">
        <v>167</v>
      </c>
      <c r="C59" s="138">
        <v>56</v>
      </c>
      <c r="D59" s="161">
        <v>0.12461</v>
      </c>
      <c r="E59" s="162">
        <f t="shared" si="0"/>
        <v>0.18152450164767364</v>
      </c>
    </row>
    <row r="60" spans="2:5" ht="12.75">
      <c r="B60" s="192" t="s">
        <v>283</v>
      </c>
      <c r="C60" s="138">
        <v>57</v>
      </c>
      <c r="D60" s="161">
        <v>0.11049</v>
      </c>
      <c r="E60" s="162">
        <f t="shared" si="0"/>
        <v>0.1538513904653557</v>
      </c>
    </row>
    <row r="61" spans="2:5" ht="12.75">
      <c r="B61" s="192" t="s">
        <v>168</v>
      </c>
      <c r="C61" s="138">
        <v>58</v>
      </c>
      <c r="D61" s="161">
        <v>0.102592</v>
      </c>
      <c r="E61" s="162">
        <f t="shared" si="0"/>
        <v>0.1383724788422716</v>
      </c>
    </row>
    <row r="62" spans="2:5" ht="12.75">
      <c r="B62" s="192" t="s">
        <v>169</v>
      </c>
      <c r="C62" s="138">
        <v>59</v>
      </c>
      <c r="D62" s="161">
        <v>0.101301</v>
      </c>
      <c r="E62" s="162">
        <f t="shared" si="0"/>
        <v>0.1358423098241149</v>
      </c>
    </row>
    <row r="63" spans="2:7" ht="12.75">
      <c r="B63" s="192" t="s">
        <v>170</v>
      </c>
      <c r="C63" s="138">
        <v>60</v>
      </c>
      <c r="D63" s="161">
        <v>0.09759</v>
      </c>
      <c r="E63" s="162">
        <f t="shared" si="0"/>
        <v>0.1285692988044561</v>
      </c>
      <c r="F63" s="127"/>
      <c r="G63" s="127"/>
    </row>
    <row r="64" spans="2:5" ht="12.75">
      <c r="B64" s="192" t="s">
        <v>171</v>
      </c>
      <c r="C64" s="138">
        <v>61</v>
      </c>
      <c r="D64" s="161">
        <v>0.096853</v>
      </c>
      <c r="E64" s="162">
        <f t="shared" si="0"/>
        <v>0.1271248878312714</v>
      </c>
    </row>
    <row r="65" spans="2:5" ht="12.75">
      <c r="B65" s="192" t="s">
        <v>172</v>
      </c>
      <c r="C65" s="138">
        <v>62</v>
      </c>
      <c r="D65" s="161">
        <v>0.08502</v>
      </c>
      <c r="E65" s="162">
        <f t="shared" si="0"/>
        <v>0.10393395832557958</v>
      </c>
    </row>
    <row r="66" spans="2:5" ht="12.75">
      <c r="B66" s="192" t="s">
        <v>173</v>
      </c>
      <c r="C66" s="138">
        <v>63</v>
      </c>
      <c r="D66" s="161">
        <v>0.069892</v>
      </c>
      <c r="E66" s="162">
        <f t="shared" si="0"/>
        <v>0.07428531625999132</v>
      </c>
    </row>
    <row r="67" spans="2:5" ht="12.75">
      <c r="B67" s="192" t="s">
        <v>174</v>
      </c>
      <c r="C67" s="138">
        <v>64</v>
      </c>
      <c r="D67" s="161">
        <v>0.0588855</v>
      </c>
      <c r="E67" s="162">
        <f t="shared" si="0"/>
        <v>0.052714204487457145</v>
      </c>
    </row>
    <row r="68" spans="2:5" ht="12.75">
      <c r="B68" s="192" t="s">
        <v>175</v>
      </c>
      <c r="C68" s="138">
        <v>65</v>
      </c>
      <c r="D68" s="161">
        <v>0.051965</v>
      </c>
      <c r="E68" s="162">
        <f aca="true" t="shared" si="1" ref="E68:E131">(D68-D$144)/D$145</f>
        <v>0.039151048259607885</v>
      </c>
    </row>
    <row r="69" spans="2:5" ht="12.75">
      <c r="B69" s="192" t="s">
        <v>176</v>
      </c>
      <c r="C69" s="138">
        <v>66</v>
      </c>
      <c r="D69" s="161">
        <v>0.050434</v>
      </c>
      <c r="E69" s="162">
        <f t="shared" si="1"/>
        <v>0.03615051474543446</v>
      </c>
    </row>
    <row r="70" spans="2:5" ht="12.75">
      <c r="B70" s="192" t="s">
        <v>177</v>
      </c>
      <c r="C70" s="138">
        <v>67</v>
      </c>
      <c r="D70" s="161">
        <v>0.045148</v>
      </c>
      <c r="E70" s="162">
        <f t="shared" si="1"/>
        <v>0.02579073672066585</v>
      </c>
    </row>
    <row r="71" spans="2:5" ht="12.75">
      <c r="B71" s="192" t="s">
        <v>178</v>
      </c>
      <c r="C71" s="138">
        <v>68</v>
      </c>
      <c r="D71" s="161">
        <v>0.023768</v>
      </c>
      <c r="E71" s="162">
        <f t="shared" si="1"/>
        <v>-0.016110900466158373</v>
      </c>
    </row>
    <row r="72" spans="2:5" ht="12.75">
      <c r="B72" s="192" t="s">
        <v>179</v>
      </c>
      <c r="C72" s="138">
        <v>69</v>
      </c>
      <c r="D72" s="161">
        <v>0.023174</v>
      </c>
      <c r="E72" s="162">
        <f t="shared" si="1"/>
        <v>-0.017275052593799797</v>
      </c>
    </row>
    <row r="73" spans="2:5" ht="12.75">
      <c r="B73" s="192" t="s">
        <v>180</v>
      </c>
      <c r="C73" s="138">
        <v>70</v>
      </c>
      <c r="D73" s="161">
        <v>0.004957</v>
      </c>
      <c r="E73" s="162">
        <f t="shared" si="1"/>
        <v>-0.05297767769353679</v>
      </c>
    </row>
    <row r="74" spans="2:5" ht="12.75">
      <c r="B74" s="192" t="s">
        <v>181</v>
      </c>
      <c r="C74" s="138">
        <v>71</v>
      </c>
      <c r="D74" s="161">
        <v>-0.00967</v>
      </c>
      <c r="E74" s="162">
        <f t="shared" si="1"/>
        <v>-0.08164443387369011</v>
      </c>
    </row>
    <row r="75" spans="2:5" ht="12.75">
      <c r="B75" s="192" t="s">
        <v>182</v>
      </c>
      <c r="C75" s="138">
        <v>72</v>
      </c>
      <c r="D75" s="161">
        <v>-0.01476</v>
      </c>
      <c r="E75" s="162">
        <f t="shared" si="1"/>
        <v>-0.09162008089337839</v>
      </c>
    </row>
    <row r="76" spans="2:5" ht="12.75">
      <c r="B76" s="192" t="s">
        <v>183</v>
      </c>
      <c r="C76" s="138">
        <v>73</v>
      </c>
      <c r="D76" s="161">
        <v>-0.02679</v>
      </c>
      <c r="E76" s="162">
        <f t="shared" si="1"/>
        <v>-0.11519710125621728</v>
      </c>
    </row>
    <row r="77" spans="2:5" ht="12.75">
      <c r="B77" s="192" t="s">
        <v>184</v>
      </c>
      <c r="C77" s="138">
        <v>74</v>
      </c>
      <c r="D77" s="161">
        <v>-0.03451</v>
      </c>
      <c r="E77" s="162">
        <f t="shared" si="1"/>
        <v>-0.1303271592114223</v>
      </c>
    </row>
    <row r="78" spans="2:5" ht="12.75">
      <c r="B78" s="192" t="s">
        <v>185</v>
      </c>
      <c r="C78" s="138">
        <v>75</v>
      </c>
      <c r="D78" s="161">
        <v>-0.05386</v>
      </c>
      <c r="E78" s="162">
        <f t="shared" si="1"/>
        <v>-0.16825029670277164</v>
      </c>
    </row>
    <row r="79" spans="2:5" ht="12.75">
      <c r="B79" s="192" t="s">
        <v>186</v>
      </c>
      <c r="C79" s="138">
        <v>76</v>
      </c>
      <c r="D79" s="161">
        <v>-0.05947</v>
      </c>
      <c r="E79" s="162">
        <f t="shared" si="1"/>
        <v>-0.17924506679716284</v>
      </c>
    </row>
    <row r="80" spans="2:5" ht="12.75">
      <c r="B80" s="192" t="s">
        <v>187</v>
      </c>
      <c r="C80" s="138">
        <v>77</v>
      </c>
      <c r="D80" s="161">
        <v>-0.07478</v>
      </c>
      <c r="E80" s="162">
        <f t="shared" si="1"/>
        <v>-0.2092504019388971</v>
      </c>
    </row>
    <row r="81" spans="2:5" ht="12.75">
      <c r="B81" s="192" t="s">
        <v>188</v>
      </c>
      <c r="C81" s="138">
        <v>78</v>
      </c>
      <c r="D81" s="161">
        <v>-0.0777</v>
      </c>
      <c r="E81" s="162">
        <f t="shared" si="1"/>
        <v>-0.2149731699737674</v>
      </c>
    </row>
    <row r="82" spans="2:5" ht="12.75">
      <c r="B82" s="192" t="s">
        <v>189</v>
      </c>
      <c r="C82" s="138">
        <v>79</v>
      </c>
      <c r="D82" s="161">
        <v>-0.08471</v>
      </c>
      <c r="E82" s="162">
        <f t="shared" si="1"/>
        <v>-0.22871173296158953</v>
      </c>
    </row>
    <row r="83" spans="2:5" ht="12.75">
      <c r="B83" s="192" t="s">
        <v>190</v>
      </c>
      <c r="C83" s="138">
        <v>80</v>
      </c>
      <c r="D83" s="161">
        <v>-0.0847713</v>
      </c>
      <c r="E83" s="162">
        <f t="shared" si="1"/>
        <v>-0.2288318718932805</v>
      </c>
    </row>
    <row r="84" spans="2:5" ht="12.75">
      <c r="B84" s="192" t="s">
        <v>191</v>
      </c>
      <c r="C84" s="138">
        <v>81</v>
      </c>
      <c r="D84" s="161">
        <v>-0.0926277</v>
      </c>
      <c r="E84" s="162">
        <f t="shared" si="1"/>
        <v>-0.24422925367038834</v>
      </c>
    </row>
    <row r="85" spans="2:5" ht="12.75">
      <c r="B85" s="192" t="s">
        <v>192</v>
      </c>
      <c r="C85" s="138">
        <v>82</v>
      </c>
      <c r="D85" s="161">
        <v>-0.09349</v>
      </c>
      <c r="E85" s="162">
        <f t="shared" si="1"/>
        <v>-0.24591923410753516</v>
      </c>
    </row>
    <row r="86" spans="2:5" ht="12.75">
      <c r="B86" s="192" t="s">
        <v>193</v>
      </c>
      <c r="C86" s="138">
        <v>83</v>
      </c>
      <c r="D86" s="161">
        <v>-0.1047525</v>
      </c>
      <c r="E86" s="162">
        <f t="shared" si="1"/>
        <v>-0.2679920680091538</v>
      </c>
    </row>
    <row r="87" spans="2:5" ht="12.75">
      <c r="B87" s="192" t="s">
        <v>194</v>
      </c>
      <c r="C87" s="138">
        <v>84</v>
      </c>
      <c r="D87" s="161">
        <v>-0.1116</v>
      </c>
      <c r="E87" s="162">
        <f t="shared" si="1"/>
        <v>-0.2814121550361313</v>
      </c>
    </row>
    <row r="88" spans="2:5" ht="12.75">
      <c r="B88" s="192" t="s">
        <v>195</v>
      </c>
      <c r="C88" s="138">
        <v>85</v>
      </c>
      <c r="D88" s="161">
        <v>-0.11458</v>
      </c>
      <c r="E88" s="162">
        <f t="shared" si="1"/>
        <v>-0.2872525141950058</v>
      </c>
    </row>
    <row r="89" spans="2:5" ht="12.75">
      <c r="B89" s="192" t="s">
        <v>196</v>
      </c>
      <c r="C89" s="138">
        <v>86</v>
      </c>
      <c r="D89" s="161">
        <v>-0.12434</v>
      </c>
      <c r="E89" s="162">
        <f t="shared" si="1"/>
        <v>-0.30638067036635314</v>
      </c>
    </row>
    <row r="90" spans="2:5" ht="12.75">
      <c r="B90" s="192" t="s">
        <v>197</v>
      </c>
      <c r="C90" s="138">
        <v>87</v>
      </c>
      <c r="D90" s="161">
        <v>-0.12564</v>
      </c>
      <c r="E90" s="162">
        <f t="shared" si="1"/>
        <v>-0.30892847805311036</v>
      </c>
    </row>
    <row r="91" spans="2:5" ht="12.75">
      <c r="B91" s="192" t="s">
        <v>198</v>
      </c>
      <c r="C91" s="138">
        <v>88</v>
      </c>
      <c r="D91" s="161">
        <v>-0.12573</v>
      </c>
      <c r="E91" s="162">
        <f t="shared" si="1"/>
        <v>-0.30910486473911675</v>
      </c>
    </row>
    <row r="92" spans="2:5" ht="12.75">
      <c r="B92" s="192" t="s">
        <v>199</v>
      </c>
      <c r="C92" s="138">
        <v>89</v>
      </c>
      <c r="D92" s="161">
        <v>-0.12764</v>
      </c>
      <c r="E92" s="162">
        <f t="shared" si="1"/>
        <v>-0.31284818218658317</v>
      </c>
    </row>
    <row r="93" spans="2:5" ht="12.75">
      <c r="B93" s="192" t="s">
        <v>200</v>
      </c>
      <c r="C93" s="138">
        <v>90</v>
      </c>
      <c r="D93" s="161">
        <v>-0.15644</v>
      </c>
      <c r="E93" s="162">
        <f t="shared" si="1"/>
        <v>-0.3692919217085915</v>
      </c>
    </row>
    <row r="94" spans="2:5" ht="12.75">
      <c r="B94" s="192" t="s">
        <v>201</v>
      </c>
      <c r="C94" s="138">
        <v>91</v>
      </c>
      <c r="D94" s="161">
        <v>-0.1627545</v>
      </c>
      <c r="E94" s="162">
        <f t="shared" si="1"/>
        <v>-0.3816674075839985</v>
      </c>
    </row>
    <row r="95" spans="2:5" ht="12.75">
      <c r="B95" s="192" t="s">
        <v>202</v>
      </c>
      <c r="C95" s="138">
        <v>92</v>
      </c>
      <c r="D95" s="161">
        <v>-0.17635</v>
      </c>
      <c r="E95" s="162">
        <f t="shared" si="1"/>
        <v>-0.4083125763573133</v>
      </c>
    </row>
    <row r="96" spans="2:5" ht="12.75">
      <c r="B96" s="192" t="s">
        <v>203</v>
      </c>
      <c r="C96" s="138">
        <v>93</v>
      </c>
      <c r="D96" s="161">
        <v>-0.21608</v>
      </c>
      <c r="E96" s="162">
        <f t="shared" si="1"/>
        <v>-0.4861774989687504</v>
      </c>
    </row>
    <row r="97" spans="2:5" ht="12.75">
      <c r="B97" s="192" t="s">
        <v>204</v>
      </c>
      <c r="C97" s="138">
        <v>94</v>
      </c>
      <c r="D97" s="161">
        <v>-0.22636</v>
      </c>
      <c r="E97" s="162">
        <f t="shared" si="1"/>
        <v>-0.5063247782148006</v>
      </c>
    </row>
    <row r="98" spans="2:5" ht="12.75">
      <c r="B98" s="192" t="s">
        <v>205</v>
      </c>
      <c r="C98" s="138">
        <v>95</v>
      </c>
      <c r="D98" s="161">
        <v>-0.23754</v>
      </c>
      <c r="E98" s="162">
        <f t="shared" si="1"/>
        <v>-0.5282359243209135</v>
      </c>
    </row>
    <row r="99" spans="2:5" ht="12.75">
      <c r="B99" s="192" t="s">
        <v>206</v>
      </c>
      <c r="C99" s="138">
        <v>96</v>
      </c>
      <c r="D99" s="161">
        <v>-0.24796</v>
      </c>
      <c r="E99" s="162">
        <f t="shared" si="1"/>
        <v>-0.5486575828563068</v>
      </c>
    </row>
    <row r="100" spans="2:5" ht="12.75">
      <c r="B100" s="192" t="s">
        <v>207</v>
      </c>
      <c r="C100" s="138">
        <v>97</v>
      </c>
      <c r="D100" s="161">
        <v>-0.266455</v>
      </c>
      <c r="E100" s="162">
        <f t="shared" si="1"/>
        <v>-0.5849050468305965</v>
      </c>
    </row>
    <row r="101" spans="2:5" ht="12.75">
      <c r="B101" s="192" t="s">
        <v>208</v>
      </c>
      <c r="C101" s="138">
        <v>98</v>
      </c>
      <c r="D101" s="161">
        <v>-0.26903</v>
      </c>
      <c r="E101" s="162">
        <f t="shared" si="1"/>
        <v>-0.5899516659024427</v>
      </c>
    </row>
    <row r="102" spans="2:5" ht="12.75">
      <c r="B102" s="192" t="s">
        <v>209</v>
      </c>
      <c r="C102" s="138">
        <v>99</v>
      </c>
      <c r="D102" s="161">
        <v>-0.2694</v>
      </c>
      <c r="E102" s="162">
        <f t="shared" si="1"/>
        <v>-0.5906768111671352</v>
      </c>
    </row>
    <row r="103" spans="2:5" ht="12.75">
      <c r="B103" s="192" t="s">
        <v>210</v>
      </c>
      <c r="C103" s="138">
        <v>100</v>
      </c>
      <c r="D103" s="161">
        <v>-0.2744</v>
      </c>
      <c r="E103" s="162">
        <f t="shared" si="1"/>
        <v>-0.6004760715008173</v>
      </c>
    </row>
    <row r="104" spans="2:5" ht="12.75">
      <c r="B104" s="192" t="s">
        <v>211</v>
      </c>
      <c r="C104" s="138">
        <v>101</v>
      </c>
      <c r="D104" s="161">
        <v>-0.28103</v>
      </c>
      <c r="E104" s="162">
        <f t="shared" si="1"/>
        <v>-0.6134698907032796</v>
      </c>
    </row>
    <row r="105" spans="2:5" ht="12.75">
      <c r="B105" s="192" t="s">
        <v>277</v>
      </c>
      <c r="C105" s="138">
        <v>102</v>
      </c>
      <c r="D105" s="161">
        <v>-0.28887</v>
      </c>
      <c r="E105" s="162">
        <f t="shared" si="1"/>
        <v>-0.628835130906493</v>
      </c>
    </row>
    <row r="106" spans="2:5" ht="12.75">
      <c r="B106" s="192" t="s">
        <v>212</v>
      </c>
      <c r="C106" s="138">
        <v>103</v>
      </c>
      <c r="D106" s="161">
        <v>-0.290772</v>
      </c>
      <c r="E106" s="162">
        <f t="shared" si="1"/>
        <v>-0.6325627695374255</v>
      </c>
    </row>
    <row r="107" spans="2:5" ht="12.75">
      <c r="B107" s="192" t="s">
        <v>281</v>
      </c>
      <c r="C107" s="138">
        <v>104</v>
      </c>
      <c r="D107" s="161">
        <v>-0.29199</v>
      </c>
      <c r="E107" s="162">
        <f t="shared" si="1"/>
        <v>-0.6349498693547105</v>
      </c>
    </row>
    <row r="108" spans="2:5" ht="12.75">
      <c r="B108" s="192" t="s">
        <v>213</v>
      </c>
      <c r="C108" s="138">
        <v>105</v>
      </c>
      <c r="D108" s="161">
        <v>-0.29641</v>
      </c>
      <c r="E108" s="162">
        <f t="shared" si="1"/>
        <v>-0.6436124154896854</v>
      </c>
    </row>
    <row r="109" spans="2:5" ht="12.75">
      <c r="B109" s="192" t="s">
        <v>260</v>
      </c>
      <c r="C109" s="138">
        <v>106</v>
      </c>
      <c r="D109" s="161">
        <v>-0.30503</v>
      </c>
      <c r="E109" s="162">
        <f t="shared" si="1"/>
        <v>-0.6605063403049533</v>
      </c>
    </row>
    <row r="110" spans="2:5" ht="12.75">
      <c r="B110" s="192" t="s">
        <v>275</v>
      </c>
      <c r="C110" s="138">
        <v>107</v>
      </c>
      <c r="D110" s="161">
        <v>-0.33295</v>
      </c>
      <c r="E110" s="162">
        <f t="shared" si="1"/>
        <v>-0.7152254100082335</v>
      </c>
    </row>
    <row r="111" spans="2:5" ht="12.75">
      <c r="B111" s="192" t="s">
        <v>220</v>
      </c>
      <c r="C111" s="138">
        <v>108</v>
      </c>
      <c r="D111" s="161">
        <v>-0.3349</v>
      </c>
      <c r="E111" s="162">
        <f t="shared" si="1"/>
        <v>-0.7190471215383694</v>
      </c>
    </row>
    <row r="112" spans="2:5" ht="12.75">
      <c r="B112" s="192" t="s">
        <v>248</v>
      </c>
      <c r="C112" s="138">
        <v>109</v>
      </c>
      <c r="D112" s="161">
        <v>-0.33954</v>
      </c>
      <c r="E112" s="162">
        <f t="shared" si="1"/>
        <v>-0.7281408351280264</v>
      </c>
    </row>
    <row r="113" spans="2:5" ht="12.75">
      <c r="B113" s="192" t="s">
        <v>225</v>
      </c>
      <c r="C113" s="138">
        <v>110</v>
      </c>
      <c r="D113" s="161">
        <v>-0.352045</v>
      </c>
      <c r="E113" s="162">
        <f t="shared" si="1"/>
        <v>-0.7526487852225651</v>
      </c>
    </row>
    <row r="114" spans="2:5" ht="12.75">
      <c r="B114" s="192" t="s">
        <v>237</v>
      </c>
      <c r="C114" s="138">
        <v>111</v>
      </c>
      <c r="D114" s="161">
        <v>-0.35448</v>
      </c>
      <c r="E114" s="162">
        <f t="shared" si="1"/>
        <v>-0.7574210250050682</v>
      </c>
    </row>
    <row r="115" spans="2:5" ht="12.75">
      <c r="B115" s="192" t="s">
        <v>214</v>
      </c>
      <c r="C115" s="138">
        <v>112</v>
      </c>
      <c r="D115" s="161">
        <v>-0.3572</v>
      </c>
      <c r="E115" s="162">
        <f t="shared" si="1"/>
        <v>-0.7627518226265912</v>
      </c>
    </row>
    <row r="116" spans="2:5" ht="12.75">
      <c r="B116" s="192" t="s">
        <v>254</v>
      </c>
      <c r="C116" s="138">
        <v>113</v>
      </c>
      <c r="D116" s="161">
        <v>-0.37554</v>
      </c>
      <c r="E116" s="162">
        <f t="shared" si="1"/>
        <v>-0.7986955095305367</v>
      </c>
    </row>
    <row r="117" spans="2:5" ht="12.75">
      <c r="B117" s="192" t="s">
        <v>256</v>
      </c>
      <c r="C117" s="138">
        <v>114</v>
      </c>
      <c r="D117" s="161">
        <v>-0.38008</v>
      </c>
      <c r="E117" s="162">
        <f t="shared" si="1"/>
        <v>-0.80759323791352</v>
      </c>
    </row>
    <row r="118" spans="2:5" ht="12.75">
      <c r="B118" s="192" t="s">
        <v>228</v>
      </c>
      <c r="C118" s="138">
        <v>115</v>
      </c>
      <c r="D118" s="161">
        <v>-0.38093</v>
      </c>
      <c r="E118" s="162">
        <f t="shared" si="1"/>
        <v>-0.8092591121702459</v>
      </c>
    </row>
    <row r="119" spans="2:5" ht="12.75">
      <c r="B119" s="192" t="s">
        <v>244</v>
      </c>
      <c r="C119" s="138">
        <v>116</v>
      </c>
      <c r="D119" s="161">
        <v>-0.38961</v>
      </c>
      <c r="E119" s="162">
        <f t="shared" si="1"/>
        <v>-0.8262706281095179</v>
      </c>
    </row>
    <row r="120" spans="2:5" ht="12.75">
      <c r="B120" s="192" t="s">
        <v>222</v>
      </c>
      <c r="C120" s="138">
        <v>117</v>
      </c>
      <c r="D120" s="161">
        <v>-0.39966</v>
      </c>
      <c r="E120" s="162">
        <f t="shared" si="1"/>
        <v>-0.8459671413802188</v>
      </c>
    </row>
    <row r="121" spans="2:5" ht="12.75">
      <c r="B121" s="192" t="s">
        <v>255</v>
      </c>
      <c r="C121" s="138">
        <v>118</v>
      </c>
      <c r="D121" s="161">
        <v>-0.43644</v>
      </c>
      <c r="E121" s="162">
        <f t="shared" si="1"/>
        <v>-0.9180505003947835</v>
      </c>
    </row>
    <row r="122" spans="2:5" ht="12.75">
      <c r="B122" s="192" t="s">
        <v>240</v>
      </c>
      <c r="C122" s="138">
        <v>119</v>
      </c>
      <c r="D122" s="161">
        <v>-0.45079</v>
      </c>
      <c r="E122" s="162">
        <f t="shared" si="1"/>
        <v>-0.9461743775524509</v>
      </c>
    </row>
    <row r="123" spans="2:5" ht="12.75">
      <c r="B123" s="192" t="s">
        <v>215</v>
      </c>
      <c r="C123" s="138">
        <v>120</v>
      </c>
      <c r="D123" s="161">
        <v>-0.45215</v>
      </c>
      <c r="E123" s="162">
        <f t="shared" si="1"/>
        <v>-0.9488397763632124</v>
      </c>
    </row>
    <row r="124" spans="2:5" ht="12.75">
      <c r="B124" s="192" t="s">
        <v>282</v>
      </c>
      <c r="C124" s="138">
        <v>121</v>
      </c>
      <c r="D124" s="161">
        <v>-0.45484</v>
      </c>
      <c r="E124" s="162">
        <f t="shared" si="1"/>
        <v>-0.9541117784227333</v>
      </c>
    </row>
    <row r="125" spans="2:5" ht="12.75">
      <c r="B125" s="192" t="s">
        <v>241</v>
      </c>
      <c r="C125" s="138">
        <v>122</v>
      </c>
      <c r="D125" s="161">
        <v>-0.46072</v>
      </c>
      <c r="E125" s="162">
        <f t="shared" si="1"/>
        <v>-0.9656357085751434</v>
      </c>
    </row>
    <row r="126" spans="2:5" ht="12.75">
      <c r="B126" s="192" t="s">
        <v>270</v>
      </c>
      <c r="C126" s="138">
        <v>123</v>
      </c>
      <c r="D126" s="161">
        <v>-0.46345</v>
      </c>
      <c r="E126" s="162">
        <f t="shared" si="1"/>
        <v>-0.9709861047173336</v>
      </c>
    </row>
    <row r="127" spans="2:5" ht="12.75">
      <c r="B127" s="192" t="s">
        <v>247</v>
      </c>
      <c r="C127" s="138">
        <v>124</v>
      </c>
      <c r="D127" s="161">
        <v>-0.46508</v>
      </c>
      <c r="E127" s="162">
        <f t="shared" si="1"/>
        <v>-0.974180663586114</v>
      </c>
    </row>
    <row r="128" spans="2:5" ht="12.75">
      <c r="B128" s="192" t="s">
        <v>229</v>
      </c>
      <c r="C128" s="138">
        <v>125</v>
      </c>
      <c r="D128" s="161">
        <v>-0.46543</v>
      </c>
      <c r="E128" s="162">
        <f t="shared" si="1"/>
        <v>-0.9748666118094718</v>
      </c>
    </row>
    <row r="129" spans="2:5" ht="12.75">
      <c r="B129" s="192" t="s">
        <v>226</v>
      </c>
      <c r="C129" s="138">
        <v>126</v>
      </c>
      <c r="D129" s="161">
        <v>-0.518637</v>
      </c>
      <c r="E129" s="162">
        <f t="shared" si="1"/>
        <v>-1.0791444607243152</v>
      </c>
    </row>
    <row r="130" spans="2:5" ht="12.75">
      <c r="B130" s="193" t="s">
        <v>239</v>
      </c>
      <c r="C130" s="138">
        <v>127</v>
      </c>
      <c r="D130" s="161">
        <v>-0.52653</v>
      </c>
      <c r="E130" s="162">
        <f t="shared" si="1"/>
        <v>-1.0946135730870659</v>
      </c>
    </row>
    <row r="131" spans="2:5" ht="12.75">
      <c r="B131" s="192" t="s">
        <v>224</v>
      </c>
      <c r="C131" s="138">
        <v>128</v>
      </c>
      <c r="D131" s="161">
        <v>-0.60335</v>
      </c>
      <c r="E131" s="162">
        <f t="shared" si="1"/>
        <v>-1.245169408853756</v>
      </c>
    </row>
    <row r="132" spans="2:5" ht="12.75">
      <c r="B132" s="192" t="s">
        <v>234</v>
      </c>
      <c r="C132" s="138">
        <v>129</v>
      </c>
      <c r="D132" s="161">
        <v>-0.63527</v>
      </c>
      <c r="E132" s="162">
        <f aca="true" t="shared" si="2" ref="E132:E141">(D132-D$144)/D$145</f>
        <v>-1.3077278868239817</v>
      </c>
    </row>
    <row r="133" spans="2:5" ht="12.75">
      <c r="B133" s="192" t="s">
        <v>243</v>
      </c>
      <c r="C133" s="138">
        <v>130</v>
      </c>
      <c r="D133" s="161">
        <v>-0.64532</v>
      </c>
      <c r="E133" s="162">
        <f t="shared" si="2"/>
        <v>-1.3274244000946827</v>
      </c>
    </row>
    <row r="134" spans="2:5" ht="12.75">
      <c r="B134" s="192" t="s">
        <v>235</v>
      </c>
      <c r="C134" s="138">
        <v>131</v>
      </c>
      <c r="D134" s="161">
        <v>-0.66047</v>
      </c>
      <c r="E134" s="162">
        <f t="shared" si="2"/>
        <v>-1.357116158905739</v>
      </c>
    </row>
    <row r="135" spans="2:5" ht="12.75">
      <c r="B135" s="192" t="s">
        <v>259</v>
      </c>
      <c r="C135" s="138">
        <v>132</v>
      </c>
      <c r="D135" s="161">
        <v>-0.68299</v>
      </c>
      <c r="E135" s="162">
        <f t="shared" si="2"/>
        <v>-1.4012520274486426</v>
      </c>
    </row>
    <row r="136" spans="2:5" ht="12.75">
      <c r="B136" s="192" t="s">
        <v>242</v>
      </c>
      <c r="C136" s="138">
        <v>133</v>
      </c>
      <c r="D136" s="161">
        <v>-0.69826</v>
      </c>
      <c r="E136" s="162">
        <f t="shared" si="2"/>
        <v>-1.4311789685077076</v>
      </c>
    </row>
    <row r="137" spans="2:5" ht="12.75">
      <c r="B137" s="192" t="s">
        <v>236</v>
      </c>
      <c r="C137" s="138">
        <v>134</v>
      </c>
      <c r="D137" s="161">
        <v>-0.72812</v>
      </c>
      <c r="E137" s="162">
        <f t="shared" si="2"/>
        <v>-1.4897001512204564</v>
      </c>
    </row>
    <row r="138" spans="2:5" ht="12.75">
      <c r="B138" s="192" t="s">
        <v>246</v>
      </c>
      <c r="C138" s="138">
        <v>135</v>
      </c>
      <c r="D138" s="161">
        <v>-0.81202</v>
      </c>
      <c r="E138" s="162">
        <f t="shared" si="2"/>
        <v>-1.6541317396196404</v>
      </c>
    </row>
    <row r="139" spans="2:5" ht="12.75">
      <c r="B139" s="192" t="s">
        <v>261</v>
      </c>
      <c r="C139" s="138">
        <v>136</v>
      </c>
      <c r="D139" s="161">
        <v>-0.85577</v>
      </c>
      <c r="E139" s="162">
        <f t="shared" si="2"/>
        <v>-1.739875267539358</v>
      </c>
    </row>
    <row r="140" spans="2:5" ht="12.75">
      <c r="B140" s="192" t="s">
        <v>245</v>
      </c>
      <c r="C140" s="138">
        <v>137</v>
      </c>
      <c r="D140" s="161">
        <v>-0.87075</v>
      </c>
      <c r="E140" s="162">
        <f t="shared" si="2"/>
        <v>-1.7692338514990693</v>
      </c>
    </row>
    <row r="141" spans="2:5" ht="12.75">
      <c r="B141" s="192" t="s">
        <v>230</v>
      </c>
      <c r="C141" s="138">
        <v>138</v>
      </c>
      <c r="D141" s="161">
        <v>-0.99676</v>
      </c>
      <c r="E141" s="162">
        <f t="shared" si="2"/>
        <v>-2.016194810428523</v>
      </c>
    </row>
    <row r="142" spans="2:5" ht="12.75">
      <c r="B142" s="194" t="s">
        <v>292</v>
      </c>
      <c r="C142" s="139">
        <v>139</v>
      </c>
      <c r="D142" s="163">
        <v>-1.214395</v>
      </c>
      <c r="E142" s="164">
        <f>(D142-D$144)/D$145</f>
        <v>-2.4427272149726993</v>
      </c>
    </row>
    <row r="143" spans="2:5" ht="12.75">
      <c r="B143" s="13" t="s">
        <v>70</v>
      </c>
      <c r="D143" s="128">
        <f>SUM(D4:D142)</f>
        <v>4.446397</v>
      </c>
      <c r="E143" s="133">
        <f>SUM(E4:E142)</f>
        <v>-1.021405182655144E-14</v>
      </c>
    </row>
    <row r="144" spans="2:5" ht="12.75">
      <c r="B144" s="13" t="s">
        <v>293</v>
      </c>
      <c r="D144" s="128">
        <f>AVERAGE(D4:D142)</f>
        <v>0.03198846762589928</v>
      </c>
      <c r="E144" s="133">
        <f>AVERAGE(E4:E142)</f>
        <v>-7.348238724137727E-17</v>
      </c>
    </row>
    <row r="145" spans="2:5" ht="12.75">
      <c r="B145" s="140" t="s">
        <v>218</v>
      </c>
      <c r="C145" s="141"/>
      <c r="D145" s="142">
        <f>STDEV(D4:D142)</f>
        <v>0.5102425927816214</v>
      </c>
      <c r="E145" s="143">
        <f>STDEV(E4:E142)</f>
        <v>1</v>
      </c>
    </row>
  </sheetData>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9"/>
  <dimension ref="A1:T62"/>
  <sheetViews>
    <sheetView tabSelected="1" workbookViewId="0" topLeftCell="A1">
      <selection activeCell="A11" sqref="A11"/>
    </sheetView>
  </sheetViews>
  <sheetFormatPr defaultColWidth="9.140625" defaultRowHeight="12.75"/>
  <cols>
    <col min="1" max="1" width="8.421875" style="1" customWidth="1"/>
    <col min="2" max="2" width="7.57421875" style="1" customWidth="1"/>
    <col min="3" max="3" width="8.8515625" style="1" customWidth="1"/>
    <col min="4" max="4" width="4.00390625" style="1" customWidth="1"/>
    <col min="5" max="5" width="6.28125" style="1" customWidth="1"/>
    <col min="6" max="6" width="8.57421875" style="1" customWidth="1"/>
    <col min="7" max="7" width="5.140625" style="1" customWidth="1"/>
    <col min="8" max="8" width="6.28125" style="1" customWidth="1"/>
    <col min="9" max="10" width="8.57421875" style="1" customWidth="1"/>
    <col min="11" max="11" width="5.7109375" style="1" customWidth="1"/>
    <col min="12" max="12" width="9.00390625" style="1" customWidth="1"/>
    <col min="13" max="16" width="5.7109375" style="1" customWidth="1"/>
    <col min="17" max="16384" width="9.140625" style="1" customWidth="1"/>
  </cols>
  <sheetData>
    <row r="1" spans="1:12" ht="26.25" customHeight="1">
      <c r="A1" s="216" t="s">
        <v>325</v>
      </c>
      <c r="L1" s="6" t="s">
        <v>326</v>
      </c>
    </row>
    <row r="2" spans="1:14" ht="13.5" thickBot="1">
      <c r="A2" s="217"/>
      <c r="B2" s="218"/>
      <c r="C2" s="219" t="s">
        <v>335</v>
      </c>
      <c r="D2" s="220" t="s">
        <v>309</v>
      </c>
      <c r="E2" s="221" t="s">
        <v>309</v>
      </c>
      <c r="F2" s="222" t="s">
        <v>310</v>
      </c>
      <c r="G2" s="223" t="s">
        <v>310</v>
      </c>
      <c r="H2" s="224"/>
      <c r="N2" s="6" t="s">
        <v>336</v>
      </c>
    </row>
    <row r="3" ht="16.5" thickTop="1">
      <c r="A3" t="s">
        <v>316</v>
      </c>
    </row>
    <row r="4" ht="12.75">
      <c r="A4"/>
    </row>
    <row r="5" spans="1:12" ht="12.75">
      <c r="A5" s="39"/>
      <c r="B5" s="41" t="s">
        <v>88</v>
      </c>
      <c r="C5" s="40"/>
      <c r="D5" s="40"/>
      <c r="E5" s="41" t="s">
        <v>89</v>
      </c>
      <c r="F5" s="40"/>
      <c r="G5" s="40"/>
      <c r="H5" s="40"/>
      <c r="I5" s="40"/>
      <c r="J5" s="41" t="s">
        <v>337</v>
      </c>
      <c r="K5" s="41" t="s">
        <v>332</v>
      </c>
      <c r="L5" s="40"/>
    </row>
    <row r="6" spans="2:12" ht="12.75">
      <c r="B6" s="201" t="s">
        <v>128</v>
      </c>
      <c r="C6" s="207">
        <f>ROWS(B15:B46)</f>
        <v>32</v>
      </c>
      <c r="D6" s="44"/>
      <c r="E6" s="1" t="s">
        <v>91</v>
      </c>
      <c r="F6" s="208">
        <f>COUNTIF(F15:F46,"&gt;0")</f>
        <v>32</v>
      </c>
      <c r="H6" s="1" t="s">
        <v>92</v>
      </c>
      <c r="I6" s="208">
        <f>COUNTIF(I15:I46,"&gt;0")</f>
        <v>21</v>
      </c>
      <c r="J6" s="208">
        <f>COUNTIF(J15:J46,"&gt;0")</f>
        <v>21</v>
      </c>
      <c r="K6" s="65"/>
      <c r="L6" s="208">
        <f>COUNTIF(L15:L46,"&gt;0")</f>
        <v>15</v>
      </c>
    </row>
    <row r="7" spans="2:20" ht="12.75">
      <c r="B7" s="6" t="s">
        <v>93</v>
      </c>
      <c r="C7" s="9">
        <f>SUM(C15:C46)</f>
        <v>5877</v>
      </c>
      <c r="D7" s="2"/>
      <c r="E7"/>
      <c r="F7" s="46">
        <f>SUM(F15:F46)</f>
        <v>4891</v>
      </c>
      <c r="G7" s="3"/>
      <c r="H7"/>
      <c r="I7" s="46">
        <f>SUM(I15:I46)</f>
        <v>2256</v>
      </c>
      <c r="J7" s="46">
        <f>SUM(J15:J46)</f>
        <v>2256</v>
      </c>
      <c r="K7" s="20"/>
      <c r="L7" s="46">
        <f>SUM(L15:L46)</f>
        <v>2391</v>
      </c>
      <c r="M7" s="6"/>
      <c r="T7" s="14"/>
    </row>
    <row r="8" spans="2:20" ht="12.75">
      <c r="B8" s="49" t="s">
        <v>77</v>
      </c>
      <c r="C8" s="16">
        <f>SUMPRODUCT($B15:$B46,C15:C46)/C7</f>
        <v>105.97141398672792</v>
      </c>
      <c r="D8" s="2"/>
      <c r="E8" s="127"/>
      <c r="F8" s="225">
        <f>SUMPRODUCT($B15:$B46,F15:F46)/F7</f>
        <v>107.23287671232876</v>
      </c>
      <c r="G8" s="2"/>
      <c r="H8" s="127"/>
      <c r="I8" s="225">
        <f>SUMPRODUCT($B15:$B46,I15:I46)/I7</f>
        <v>111.45921985815603</v>
      </c>
      <c r="J8" s="225">
        <f>SUMPRODUCT($B15:$B46,J15:J46)/J7</f>
        <v>111.45921985815603</v>
      </c>
      <c r="K8" s="2"/>
      <c r="L8" s="225">
        <f>SUMPRODUCT($B15:$B46,L15:L46)/L7</f>
        <v>111.68088665830197</v>
      </c>
      <c r="M8" s="6"/>
      <c r="T8" s="13"/>
    </row>
    <row r="9" spans="2:20" s="44" customFormat="1" ht="15.75">
      <c r="B9" s="50" t="s">
        <v>95</v>
      </c>
      <c r="C9" s="226">
        <f>C7*C7/SUMSQ(C15:C46)</f>
        <v>20.039656195769286</v>
      </c>
      <c r="D9" s="227"/>
      <c r="E9" s="228"/>
      <c r="F9" s="229">
        <f>F7*F7/SUMSQ(F15:F46)</f>
        <v>24.065092364662103</v>
      </c>
      <c r="G9" s="230"/>
      <c r="H9" s="228"/>
      <c r="I9" s="229">
        <f>I7*I7/SUMSQ(I15:I46)</f>
        <v>14.713724039039734</v>
      </c>
      <c r="J9" s="229">
        <f>J7*J7/SUMSQ(J15:J46)</f>
        <v>14.713724039039734</v>
      </c>
      <c r="K9" s="230"/>
      <c r="L9" s="231">
        <f>L7*L7/SUMSQ(L15:L46)</f>
        <v>11.492350000301537</v>
      </c>
      <c r="M9"/>
      <c r="T9" t="s">
        <v>96</v>
      </c>
    </row>
    <row r="10" spans="2:20" ht="15.75">
      <c r="B10" s="49" t="s">
        <v>98</v>
      </c>
      <c r="C10" s="232" t="s">
        <v>329</v>
      </c>
      <c r="E10" s="49"/>
      <c r="F10" s="233">
        <v>90</v>
      </c>
      <c r="H10" s="49"/>
      <c r="I10" s="45">
        <v>104</v>
      </c>
      <c r="K10" s="49"/>
      <c r="L10" s="45">
        <v>106</v>
      </c>
      <c r="M10"/>
      <c r="T10" t="s">
        <v>8</v>
      </c>
    </row>
    <row r="11" spans="2:20" ht="15.75">
      <c r="B11" s="51" t="s">
        <v>100</v>
      </c>
      <c r="C11" s="234">
        <v>0</v>
      </c>
      <c r="E11" s="51"/>
      <c r="F11" s="203">
        <v>20</v>
      </c>
      <c r="H11" s="51"/>
      <c r="I11" s="203">
        <v>30</v>
      </c>
      <c r="K11" s="51"/>
      <c r="L11" s="232" t="s">
        <v>328</v>
      </c>
      <c r="M11" s="14"/>
      <c r="T11" t="s">
        <v>101</v>
      </c>
    </row>
    <row r="12" spans="1:15" ht="12.75">
      <c r="A12" s="215" t="s">
        <v>88</v>
      </c>
      <c r="B12" s="215"/>
      <c r="C12" s="215"/>
      <c r="D12" s="68"/>
      <c r="E12" s="67" t="s">
        <v>89</v>
      </c>
      <c r="F12" s="66"/>
      <c r="G12" s="66"/>
      <c r="H12" s="66"/>
      <c r="I12" s="66"/>
      <c r="J12" s="68"/>
      <c r="K12" s="40" t="s">
        <v>90</v>
      </c>
      <c r="L12" s="66"/>
      <c r="M12"/>
      <c r="O12" s="6"/>
    </row>
    <row r="13" spans="2:15" ht="12.75">
      <c r="B13" s="6" t="s">
        <v>102</v>
      </c>
      <c r="E13" s="6" t="s">
        <v>330</v>
      </c>
      <c r="H13" s="6" t="s">
        <v>331</v>
      </c>
      <c r="K13"/>
      <c r="M13"/>
      <c r="O13" s="6"/>
    </row>
    <row r="14" spans="1:13" ht="12.75">
      <c r="A14" s="37" t="s">
        <v>20</v>
      </c>
      <c r="B14" s="38" t="s">
        <v>131</v>
      </c>
      <c r="C14" s="37" t="s">
        <v>324</v>
      </c>
      <c r="D14" s="37"/>
      <c r="E14" s="37" t="s">
        <v>104</v>
      </c>
      <c r="F14" s="37" t="s">
        <v>105</v>
      </c>
      <c r="G14" s="235" t="s">
        <v>333</v>
      </c>
      <c r="H14" s="37" t="s">
        <v>104</v>
      </c>
      <c r="I14" s="37" t="s">
        <v>106</v>
      </c>
      <c r="J14" s="37"/>
      <c r="K14"/>
      <c r="L14" s="37" t="s">
        <v>107</v>
      </c>
      <c r="M14"/>
    </row>
    <row r="15" spans="1:13" ht="12.75">
      <c r="A15" s="8">
        <v>8320006</v>
      </c>
      <c r="B15" s="202">
        <v>110</v>
      </c>
      <c r="C15" s="203">
        <v>62</v>
      </c>
      <c r="E15" s="236">
        <f aca="true" t="shared" si="0" ref="E15:E46">MAX(0,F$11*($B15-F$10))</f>
        <v>400</v>
      </c>
      <c r="F15" s="237">
        <f aca="true" t="shared" si="1" ref="F15:F46">MIN(E15,$C15)</f>
        <v>62</v>
      </c>
      <c r="G15" s="238">
        <f aca="true" t="shared" si="2" ref="G15:G46">INT(F15*100/C15+0.5)</f>
        <v>100</v>
      </c>
      <c r="H15" s="236">
        <f aca="true" t="shared" si="3" ref="H15:H46">MAX(0,I$11*($B15-I$10))</f>
        <v>180</v>
      </c>
      <c r="I15" s="239">
        <f aca="true" t="shared" si="4" ref="I15:I46">MIN(H15,$C15)</f>
        <v>62</v>
      </c>
      <c r="J15" s="240">
        <f aca="true" t="shared" si="5" ref="J15:J46">INT(I15+0.49)</f>
        <v>62</v>
      </c>
      <c r="K15"/>
      <c r="L15" s="18">
        <f aca="true" t="shared" si="6" ref="L15:L46">IF(B15&lt;=L$10,0,C15)</f>
        <v>62</v>
      </c>
      <c r="M15"/>
    </row>
    <row r="16" spans="1:13" ht="12.75">
      <c r="A16" s="8">
        <v>8320007</v>
      </c>
      <c r="B16" s="202">
        <v>99</v>
      </c>
      <c r="C16" s="203">
        <v>18</v>
      </c>
      <c r="E16" s="236">
        <f t="shared" si="0"/>
        <v>180</v>
      </c>
      <c r="F16" s="237">
        <f t="shared" si="1"/>
        <v>18</v>
      </c>
      <c r="G16" s="238">
        <f t="shared" si="2"/>
        <v>100</v>
      </c>
      <c r="H16" s="236">
        <f t="shared" si="3"/>
        <v>0</v>
      </c>
      <c r="I16" s="239">
        <f t="shared" si="4"/>
        <v>0</v>
      </c>
      <c r="J16" s="240">
        <f t="shared" si="5"/>
        <v>0</v>
      </c>
      <c r="K16"/>
      <c r="L16" s="18">
        <f t="shared" si="6"/>
        <v>0</v>
      </c>
      <c r="M16"/>
    </row>
    <row r="17" spans="1:13" ht="12.75">
      <c r="A17" s="8">
        <v>8320009</v>
      </c>
      <c r="B17" s="202">
        <v>112</v>
      </c>
      <c r="C17" s="203">
        <v>101</v>
      </c>
      <c r="E17" s="236">
        <f t="shared" si="0"/>
        <v>440</v>
      </c>
      <c r="F17" s="237">
        <f t="shared" si="1"/>
        <v>101</v>
      </c>
      <c r="G17" s="238">
        <f t="shared" si="2"/>
        <v>100</v>
      </c>
      <c r="H17" s="236">
        <f t="shared" si="3"/>
        <v>240</v>
      </c>
      <c r="I17" s="239">
        <f t="shared" si="4"/>
        <v>101</v>
      </c>
      <c r="J17" s="240">
        <f t="shared" si="5"/>
        <v>101</v>
      </c>
      <c r="K17"/>
      <c r="L17" s="18">
        <f t="shared" si="6"/>
        <v>101</v>
      </c>
      <c r="M17"/>
    </row>
    <row r="18" spans="1:13" ht="12.75">
      <c r="A18" s="8">
        <v>8320010</v>
      </c>
      <c r="B18" s="202">
        <v>102</v>
      </c>
      <c r="C18" s="203">
        <v>189</v>
      </c>
      <c r="E18" s="236">
        <f t="shared" si="0"/>
        <v>240</v>
      </c>
      <c r="F18" s="237">
        <f t="shared" si="1"/>
        <v>189</v>
      </c>
      <c r="G18" s="238">
        <f t="shared" si="2"/>
        <v>100</v>
      </c>
      <c r="H18" s="236">
        <f t="shared" si="3"/>
        <v>0</v>
      </c>
      <c r="I18" s="239">
        <f t="shared" si="4"/>
        <v>0</v>
      </c>
      <c r="J18" s="240">
        <f t="shared" si="5"/>
        <v>0</v>
      </c>
      <c r="K18"/>
      <c r="L18" s="18">
        <f t="shared" si="6"/>
        <v>0</v>
      </c>
      <c r="M18"/>
    </row>
    <row r="19" spans="1:13" ht="12.75">
      <c r="A19" s="8">
        <v>8320012</v>
      </c>
      <c r="B19" s="202">
        <v>113</v>
      </c>
      <c r="C19" s="203">
        <v>233</v>
      </c>
      <c r="E19" s="236">
        <f t="shared" si="0"/>
        <v>460</v>
      </c>
      <c r="F19" s="237">
        <f t="shared" si="1"/>
        <v>233</v>
      </c>
      <c r="G19" s="238">
        <f t="shared" si="2"/>
        <v>100</v>
      </c>
      <c r="H19" s="236">
        <f t="shared" si="3"/>
        <v>270</v>
      </c>
      <c r="I19" s="239">
        <f t="shared" si="4"/>
        <v>233</v>
      </c>
      <c r="J19" s="240">
        <f t="shared" si="5"/>
        <v>233</v>
      </c>
      <c r="L19" s="18">
        <f t="shared" si="6"/>
        <v>233</v>
      </c>
      <c r="M19"/>
    </row>
    <row r="20" spans="1:13" ht="12.75">
      <c r="A20" s="8">
        <v>8320013</v>
      </c>
      <c r="B20" s="202">
        <v>109</v>
      </c>
      <c r="C20" s="203">
        <v>318</v>
      </c>
      <c r="E20" s="236">
        <f t="shared" si="0"/>
        <v>380</v>
      </c>
      <c r="F20" s="237">
        <f t="shared" si="1"/>
        <v>318</v>
      </c>
      <c r="G20" s="238">
        <f t="shared" si="2"/>
        <v>100</v>
      </c>
      <c r="H20" s="236">
        <f t="shared" si="3"/>
        <v>150</v>
      </c>
      <c r="I20" s="239">
        <f t="shared" si="4"/>
        <v>150</v>
      </c>
      <c r="J20" s="240">
        <f t="shared" si="5"/>
        <v>150</v>
      </c>
      <c r="L20" s="18">
        <f t="shared" si="6"/>
        <v>318</v>
      </c>
      <c r="M20"/>
    </row>
    <row r="21" spans="1:13" ht="12.75">
      <c r="A21" s="8">
        <v>8320014</v>
      </c>
      <c r="B21" s="202">
        <v>112</v>
      </c>
      <c r="C21" s="203">
        <v>101</v>
      </c>
      <c r="E21" s="236">
        <f t="shared" si="0"/>
        <v>440</v>
      </c>
      <c r="F21" s="237">
        <f t="shared" si="1"/>
        <v>101</v>
      </c>
      <c r="G21" s="238">
        <f t="shared" si="2"/>
        <v>100</v>
      </c>
      <c r="H21" s="236">
        <f t="shared" si="3"/>
        <v>240</v>
      </c>
      <c r="I21" s="239">
        <f t="shared" si="4"/>
        <v>101</v>
      </c>
      <c r="J21" s="240">
        <f t="shared" si="5"/>
        <v>101</v>
      </c>
      <c r="L21" s="18">
        <f t="shared" si="6"/>
        <v>101</v>
      </c>
      <c r="M21"/>
    </row>
    <row r="22" spans="1:13" ht="12.75">
      <c r="A22" s="8">
        <v>8320015</v>
      </c>
      <c r="B22" s="202">
        <v>101</v>
      </c>
      <c r="C22" s="203">
        <v>72</v>
      </c>
      <c r="E22" s="236">
        <f t="shared" si="0"/>
        <v>220</v>
      </c>
      <c r="F22" s="237">
        <f t="shared" si="1"/>
        <v>72</v>
      </c>
      <c r="G22" s="238">
        <f t="shared" si="2"/>
        <v>100</v>
      </c>
      <c r="H22" s="236">
        <f t="shared" si="3"/>
        <v>0</v>
      </c>
      <c r="I22" s="239">
        <f t="shared" si="4"/>
        <v>0</v>
      </c>
      <c r="J22" s="240">
        <f t="shared" si="5"/>
        <v>0</v>
      </c>
      <c r="L22" s="18">
        <f t="shared" si="6"/>
        <v>0</v>
      </c>
      <c r="M22"/>
    </row>
    <row r="23" spans="1:13" ht="12.75">
      <c r="A23" s="8">
        <v>8320016</v>
      </c>
      <c r="B23" s="202">
        <v>104</v>
      </c>
      <c r="C23" s="203">
        <v>36</v>
      </c>
      <c r="E23" s="236">
        <f t="shared" si="0"/>
        <v>280</v>
      </c>
      <c r="F23" s="237">
        <f t="shared" si="1"/>
        <v>36</v>
      </c>
      <c r="G23" s="238">
        <f t="shared" si="2"/>
        <v>100</v>
      </c>
      <c r="H23" s="236">
        <f t="shared" si="3"/>
        <v>0</v>
      </c>
      <c r="I23" s="239">
        <f t="shared" si="4"/>
        <v>0</v>
      </c>
      <c r="J23" s="240">
        <f t="shared" si="5"/>
        <v>0</v>
      </c>
      <c r="L23" s="18">
        <f t="shared" si="6"/>
        <v>0</v>
      </c>
      <c r="M23"/>
    </row>
    <row r="24" spans="1:13" ht="12.75">
      <c r="A24" s="8">
        <v>8320017</v>
      </c>
      <c r="B24" s="202">
        <v>104</v>
      </c>
      <c r="C24" s="203">
        <v>8</v>
      </c>
      <c r="E24" s="236">
        <f t="shared" si="0"/>
        <v>280</v>
      </c>
      <c r="F24" s="237">
        <f t="shared" si="1"/>
        <v>8</v>
      </c>
      <c r="G24" s="238">
        <f t="shared" si="2"/>
        <v>100</v>
      </c>
      <c r="H24" s="236">
        <f t="shared" si="3"/>
        <v>0</v>
      </c>
      <c r="I24" s="239">
        <f t="shared" si="4"/>
        <v>0</v>
      </c>
      <c r="J24" s="240">
        <f t="shared" si="5"/>
        <v>0</v>
      </c>
      <c r="L24" s="18">
        <f t="shared" si="6"/>
        <v>0</v>
      </c>
      <c r="M24"/>
    </row>
    <row r="25" spans="1:13" ht="12.75">
      <c r="A25" s="8">
        <v>8320019</v>
      </c>
      <c r="B25" s="202">
        <v>105</v>
      </c>
      <c r="C25" s="203">
        <v>215</v>
      </c>
      <c r="E25" s="236">
        <f t="shared" si="0"/>
        <v>300</v>
      </c>
      <c r="F25" s="237">
        <f t="shared" si="1"/>
        <v>215</v>
      </c>
      <c r="G25" s="238">
        <f t="shared" si="2"/>
        <v>100</v>
      </c>
      <c r="H25" s="236">
        <f t="shared" si="3"/>
        <v>30</v>
      </c>
      <c r="I25" s="239">
        <f t="shared" si="4"/>
        <v>30</v>
      </c>
      <c r="J25" s="240">
        <f t="shared" si="5"/>
        <v>30</v>
      </c>
      <c r="L25" s="18">
        <f t="shared" si="6"/>
        <v>0</v>
      </c>
      <c r="M25"/>
    </row>
    <row r="26" spans="1:13" ht="12.75">
      <c r="A26" s="8">
        <v>8320020</v>
      </c>
      <c r="B26" s="202">
        <v>111</v>
      </c>
      <c r="C26" s="203">
        <v>220</v>
      </c>
      <c r="E26" s="236">
        <f t="shared" si="0"/>
        <v>420</v>
      </c>
      <c r="F26" s="237">
        <f t="shared" si="1"/>
        <v>220</v>
      </c>
      <c r="G26" s="238">
        <f t="shared" si="2"/>
        <v>100</v>
      </c>
      <c r="H26" s="236">
        <f t="shared" si="3"/>
        <v>210</v>
      </c>
      <c r="I26" s="239">
        <f t="shared" si="4"/>
        <v>210</v>
      </c>
      <c r="J26" s="240">
        <f t="shared" si="5"/>
        <v>210</v>
      </c>
      <c r="L26" s="18">
        <f t="shared" si="6"/>
        <v>220</v>
      </c>
      <c r="M26"/>
    </row>
    <row r="27" spans="1:13" ht="12.75">
      <c r="A27" s="8">
        <v>8320022</v>
      </c>
      <c r="B27" s="202">
        <v>106</v>
      </c>
      <c r="C27" s="203">
        <v>57</v>
      </c>
      <c r="E27" s="236">
        <f t="shared" si="0"/>
        <v>320</v>
      </c>
      <c r="F27" s="237">
        <f t="shared" si="1"/>
        <v>57</v>
      </c>
      <c r="G27" s="238">
        <f t="shared" si="2"/>
        <v>100</v>
      </c>
      <c r="H27" s="236">
        <f t="shared" si="3"/>
        <v>60</v>
      </c>
      <c r="I27" s="239">
        <f t="shared" si="4"/>
        <v>57</v>
      </c>
      <c r="J27" s="240">
        <f t="shared" si="5"/>
        <v>57</v>
      </c>
      <c r="L27" s="18">
        <f t="shared" si="6"/>
        <v>0</v>
      </c>
      <c r="M27"/>
    </row>
    <row r="28" spans="1:13" ht="12.75">
      <c r="A28" s="8">
        <v>8320023</v>
      </c>
      <c r="B28" s="202">
        <v>113</v>
      </c>
      <c r="C28" s="203">
        <v>8</v>
      </c>
      <c r="E28" s="236">
        <f t="shared" si="0"/>
        <v>460</v>
      </c>
      <c r="F28" s="237">
        <f t="shared" si="1"/>
        <v>8</v>
      </c>
      <c r="G28" s="238">
        <f t="shared" si="2"/>
        <v>100</v>
      </c>
      <c r="H28" s="236">
        <f t="shared" si="3"/>
        <v>270</v>
      </c>
      <c r="I28" s="239">
        <f t="shared" si="4"/>
        <v>8</v>
      </c>
      <c r="J28" s="240">
        <f t="shared" si="5"/>
        <v>8</v>
      </c>
      <c r="L28" s="18">
        <f t="shared" si="6"/>
        <v>8</v>
      </c>
      <c r="M28"/>
    </row>
    <row r="29" spans="1:13" ht="12.75">
      <c r="A29" s="8">
        <v>8320024</v>
      </c>
      <c r="B29" s="202">
        <v>104</v>
      </c>
      <c r="C29" s="203">
        <v>215</v>
      </c>
      <c r="E29" s="236">
        <f t="shared" si="0"/>
        <v>280</v>
      </c>
      <c r="F29" s="237">
        <f t="shared" si="1"/>
        <v>215</v>
      </c>
      <c r="G29" s="238">
        <f t="shared" si="2"/>
        <v>100</v>
      </c>
      <c r="H29" s="236">
        <f t="shared" si="3"/>
        <v>0</v>
      </c>
      <c r="I29" s="239">
        <f t="shared" si="4"/>
        <v>0</v>
      </c>
      <c r="J29" s="240">
        <f t="shared" si="5"/>
        <v>0</v>
      </c>
      <c r="L29" s="18">
        <f t="shared" si="6"/>
        <v>0</v>
      </c>
      <c r="M29"/>
    </row>
    <row r="30" spans="1:13" ht="12.75">
      <c r="A30" s="8">
        <v>8320025</v>
      </c>
      <c r="B30" s="202">
        <v>107</v>
      </c>
      <c r="C30" s="203">
        <v>91</v>
      </c>
      <c r="E30" s="236">
        <f t="shared" si="0"/>
        <v>340</v>
      </c>
      <c r="F30" s="237">
        <f t="shared" si="1"/>
        <v>91</v>
      </c>
      <c r="G30" s="238">
        <f t="shared" si="2"/>
        <v>100</v>
      </c>
      <c r="H30" s="236">
        <f t="shared" si="3"/>
        <v>90</v>
      </c>
      <c r="I30" s="239">
        <f t="shared" si="4"/>
        <v>90</v>
      </c>
      <c r="J30" s="240">
        <f t="shared" si="5"/>
        <v>90</v>
      </c>
      <c r="L30" s="18">
        <f t="shared" si="6"/>
        <v>91</v>
      </c>
      <c r="M30"/>
    </row>
    <row r="31" spans="1:13" ht="12.75">
      <c r="A31" s="8">
        <v>8321043</v>
      </c>
      <c r="B31" s="202">
        <v>116</v>
      </c>
      <c r="C31" s="203">
        <v>235</v>
      </c>
      <c r="E31" s="236">
        <f t="shared" si="0"/>
        <v>520</v>
      </c>
      <c r="F31" s="237">
        <f t="shared" si="1"/>
        <v>235</v>
      </c>
      <c r="G31" s="238">
        <f t="shared" si="2"/>
        <v>100</v>
      </c>
      <c r="H31" s="236">
        <f t="shared" si="3"/>
        <v>360</v>
      </c>
      <c r="I31" s="239">
        <f t="shared" si="4"/>
        <v>235</v>
      </c>
      <c r="J31" s="240">
        <f t="shared" si="5"/>
        <v>235</v>
      </c>
      <c r="L31" s="18">
        <f t="shared" si="6"/>
        <v>235</v>
      </c>
      <c r="M31"/>
    </row>
    <row r="32" spans="1:13" ht="12.75">
      <c r="A32" s="8">
        <v>8321088</v>
      </c>
      <c r="B32" s="202">
        <v>105</v>
      </c>
      <c r="C32" s="203">
        <v>259</v>
      </c>
      <c r="E32" s="236">
        <f t="shared" si="0"/>
        <v>300</v>
      </c>
      <c r="F32" s="237">
        <f t="shared" si="1"/>
        <v>259</v>
      </c>
      <c r="G32" s="238">
        <f t="shared" si="2"/>
        <v>100</v>
      </c>
      <c r="H32" s="236">
        <f t="shared" si="3"/>
        <v>30</v>
      </c>
      <c r="I32" s="239">
        <f t="shared" si="4"/>
        <v>30</v>
      </c>
      <c r="J32" s="240">
        <f t="shared" si="5"/>
        <v>30</v>
      </c>
      <c r="L32" s="18">
        <f t="shared" si="6"/>
        <v>0</v>
      </c>
      <c r="M32"/>
    </row>
    <row r="33" spans="1:12" ht="12.75">
      <c r="A33" s="8">
        <v>8321097</v>
      </c>
      <c r="B33" s="202">
        <v>112</v>
      </c>
      <c r="C33" s="203">
        <v>159</v>
      </c>
      <c r="E33" s="236">
        <f t="shared" si="0"/>
        <v>440</v>
      </c>
      <c r="F33" s="237">
        <f t="shared" si="1"/>
        <v>159</v>
      </c>
      <c r="G33" s="238">
        <f t="shared" si="2"/>
        <v>100</v>
      </c>
      <c r="H33" s="236">
        <f t="shared" si="3"/>
        <v>240</v>
      </c>
      <c r="I33" s="239">
        <f t="shared" si="4"/>
        <v>159</v>
      </c>
      <c r="J33" s="240">
        <f t="shared" si="5"/>
        <v>159</v>
      </c>
      <c r="L33" s="18">
        <f t="shared" si="6"/>
        <v>159</v>
      </c>
    </row>
    <row r="34" spans="1:12" ht="12.75">
      <c r="A34" s="8">
        <v>8321100</v>
      </c>
      <c r="B34" s="202">
        <v>105</v>
      </c>
      <c r="C34" s="203">
        <v>166</v>
      </c>
      <c r="E34" s="236">
        <f t="shared" si="0"/>
        <v>300</v>
      </c>
      <c r="F34" s="237">
        <f t="shared" si="1"/>
        <v>166</v>
      </c>
      <c r="G34" s="238">
        <f t="shared" si="2"/>
        <v>100</v>
      </c>
      <c r="H34" s="236">
        <f t="shared" si="3"/>
        <v>30</v>
      </c>
      <c r="I34" s="239">
        <f t="shared" si="4"/>
        <v>30</v>
      </c>
      <c r="J34" s="240">
        <f t="shared" si="5"/>
        <v>30</v>
      </c>
      <c r="L34" s="18">
        <f t="shared" si="6"/>
        <v>0</v>
      </c>
    </row>
    <row r="35" spans="1:12" ht="12.75">
      <c r="A35" s="8">
        <v>8321120</v>
      </c>
      <c r="B35" s="202">
        <v>107</v>
      </c>
      <c r="C35" s="203">
        <v>139</v>
      </c>
      <c r="E35" s="236">
        <f t="shared" si="0"/>
        <v>340</v>
      </c>
      <c r="F35" s="237">
        <f t="shared" si="1"/>
        <v>139</v>
      </c>
      <c r="G35" s="238">
        <f t="shared" si="2"/>
        <v>100</v>
      </c>
      <c r="H35" s="236">
        <f t="shared" si="3"/>
        <v>90</v>
      </c>
      <c r="I35" s="239">
        <f t="shared" si="4"/>
        <v>90</v>
      </c>
      <c r="J35" s="240">
        <f t="shared" si="5"/>
        <v>90</v>
      </c>
      <c r="L35" s="18">
        <f t="shared" si="6"/>
        <v>139</v>
      </c>
    </row>
    <row r="36" spans="1:12" ht="12.75">
      <c r="A36" s="8">
        <v>8321128</v>
      </c>
      <c r="B36" s="202">
        <v>101</v>
      </c>
      <c r="C36" s="203">
        <v>180</v>
      </c>
      <c r="E36" s="236">
        <f t="shared" si="0"/>
        <v>220</v>
      </c>
      <c r="F36" s="237">
        <f t="shared" si="1"/>
        <v>180</v>
      </c>
      <c r="G36" s="238">
        <f t="shared" si="2"/>
        <v>100</v>
      </c>
      <c r="H36" s="236">
        <f t="shared" si="3"/>
        <v>0</v>
      </c>
      <c r="I36" s="239">
        <f t="shared" si="4"/>
        <v>0</v>
      </c>
      <c r="J36" s="240">
        <f t="shared" si="5"/>
        <v>0</v>
      </c>
      <c r="L36" s="18">
        <f t="shared" si="6"/>
        <v>0</v>
      </c>
    </row>
    <row r="37" spans="1:12" ht="12.75">
      <c r="A37" s="8">
        <v>8321137</v>
      </c>
      <c r="B37" s="202">
        <v>121</v>
      </c>
      <c r="C37" s="203">
        <v>205</v>
      </c>
      <c r="E37" s="236">
        <f t="shared" si="0"/>
        <v>620</v>
      </c>
      <c r="F37" s="237">
        <f t="shared" si="1"/>
        <v>205</v>
      </c>
      <c r="G37" s="238">
        <f t="shared" si="2"/>
        <v>100</v>
      </c>
      <c r="H37" s="236">
        <f t="shared" si="3"/>
        <v>510</v>
      </c>
      <c r="I37" s="239">
        <f t="shared" si="4"/>
        <v>205</v>
      </c>
      <c r="J37" s="240">
        <f t="shared" si="5"/>
        <v>205</v>
      </c>
      <c r="L37" s="18">
        <f t="shared" si="6"/>
        <v>205</v>
      </c>
    </row>
    <row r="38" spans="1:12" ht="12.75">
      <c r="A38" s="8">
        <v>8321442</v>
      </c>
      <c r="B38" s="202">
        <v>110</v>
      </c>
      <c r="C38" s="203">
        <v>313</v>
      </c>
      <c r="E38" s="236">
        <f t="shared" si="0"/>
        <v>400</v>
      </c>
      <c r="F38" s="237">
        <f t="shared" si="1"/>
        <v>313</v>
      </c>
      <c r="G38" s="238">
        <f t="shared" si="2"/>
        <v>100</v>
      </c>
      <c r="H38" s="236">
        <f t="shared" si="3"/>
        <v>180</v>
      </c>
      <c r="I38" s="239">
        <f t="shared" si="4"/>
        <v>180</v>
      </c>
      <c r="J38" s="240">
        <f t="shared" si="5"/>
        <v>180</v>
      </c>
      <c r="L38" s="18">
        <f t="shared" si="6"/>
        <v>313</v>
      </c>
    </row>
    <row r="39" spans="1:12" ht="12.75">
      <c r="A39" s="8">
        <v>8321451</v>
      </c>
      <c r="B39" s="202">
        <v>110</v>
      </c>
      <c r="C39" s="203">
        <v>105</v>
      </c>
      <c r="E39" s="236">
        <f t="shared" si="0"/>
        <v>400</v>
      </c>
      <c r="F39" s="237">
        <f t="shared" si="1"/>
        <v>105</v>
      </c>
      <c r="G39" s="238">
        <f t="shared" si="2"/>
        <v>100</v>
      </c>
      <c r="H39" s="236">
        <f t="shared" si="3"/>
        <v>180</v>
      </c>
      <c r="I39" s="239">
        <f t="shared" si="4"/>
        <v>105</v>
      </c>
      <c r="J39" s="240">
        <f t="shared" si="5"/>
        <v>105</v>
      </c>
      <c r="L39" s="18">
        <f t="shared" si="6"/>
        <v>105</v>
      </c>
    </row>
    <row r="40" spans="1:12" ht="12.75">
      <c r="A40" s="8">
        <v>8321625</v>
      </c>
      <c r="B40" s="202">
        <v>102</v>
      </c>
      <c r="C40" s="203">
        <v>538</v>
      </c>
      <c r="E40" s="236">
        <f t="shared" si="0"/>
        <v>240</v>
      </c>
      <c r="F40" s="237">
        <f t="shared" si="1"/>
        <v>240</v>
      </c>
      <c r="G40" s="238">
        <f t="shared" si="2"/>
        <v>45</v>
      </c>
      <c r="H40" s="236">
        <f t="shared" si="3"/>
        <v>0</v>
      </c>
      <c r="I40" s="239">
        <f t="shared" si="4"/>
        <v>0</v>
      </c>
      <c r="J40" s="240">
        <f t="shared" si="5"/>
        <v>0</v>
      </c>
      <c r="L40" s="18">
        <f t="shared" si="6"/>
        <v>0</v>
      </c>
    </row>
    <row r="41" spans="1:12" ht="12.75">
      <c r="A41" s="8">
        <v>8321659</v>
      </c>
      <c r="B41" s="202">
        <v>97</v>
      </c>
      <c r="C41" s="203">
        <v>626</v>
      </c>
      <c r="E41" s="236">
        <f t="shared" si="0"/>
        <v>140</v>
      </c>
      <c r="F41" s="237">
        <f t="shared" si="1"/>
        <v>140</v>
      </c>
      <c r="G41" s="238">
        <f t="shared" si="2"/>
        <v>22</v>
      </c>
      <c r="H41" s="236">
        <f t="shared" si="3"/>
        <v>0</v>
      </c>
      <c r="I41" s="239">
        <f t="shared" si="4"/>
        <v>0</v>
      </c>
      <c r="J41" s="240">
        <f t="shared" si="5"/>
        <v>0</v>
      </c>
      <c r="L41" s="18">
        <f t="shared" si="6"/>
        <v>0</v>
      </c>
    </row>
    <row r="42" spans="1:12" ht="12.75">
      <c r="A42" s="8">
        <v>8321699</v>
      </c>
      <c r="B42" s="202">
        <v>101</v>
      </c>
      <c r="C42" s="203">
        <v>132</v>
      </c>
      <c r="E42" s="236">
        <f t="shared" si="0"/>
        <v>220</v>
      </c>
      <c r="F42" s="237">
        <f t="shared" si="1"/>
        <v>132</v>
      </c>
      <c r="G42" s="238">
        <f t="shared" si="2"/>
        <v>100</v>
      </c>
      <c r="H42" s="236">
        <f t="shared" si="3"/>
        <v>0</v>
      </c>
      <c r="I42" s="239">
        <f t="shared" si="4"/>
        <v>0</v>
      </c>
      <c r="J42" s="240">
        <f t="shared" si="5"/>
        <v>0</v>
      </c>
      <c r="L42" s="18">
        <f t="shared" si="6"/>
        <v>0</v>
      </c>
    </row>
    <row r="43" spans="1:12" ht="12.75">
      <c r="A43" s="8">
        <v>8321728</v>
      </c>
      <c r="B43" s="202">
        <v>98</v>
      </c>
      <c r="C43" s="203">
        <v>239</v>
      </c>
      <c r="E43" s="236">
        <f t="shared" si="0"/>
        <v>160</v>
      </c>
      <c r="F43" s="237">
        <f t="shared" si="1"/>
        <v>160</v>
      </c>
      <c r="G43" s="238">
        <f t="shared" si="2"/>
        <v>67</v>
      </c>
      <c r="H43" s="236">
        <f t="shared" si="3"/>
        <v>0</v>
      </c>
      <c r="I43" s="239">
        <f t="shared" si="4"/>
        <v>0</v>
      </c>
      <c r="J43" s="240">
        <f t="shared" si="5"/>
        <v>0</v>
      </c>
      <c r="L43" s="18">
        <f t="shared" si="6"/>
        <v>0</v>
      </c>
    </row>
    <row r="44" spans="1:12" ht="12.75">
      <c r="A44" s="8">
        <v>8321774</v>
      </c>
      <c r="B44" s="202">
        <v>107</v>
      </c>
      <c r="C44" s="203">
        <v>101</v>
      </c>
      <c r="D44" s="2"/>
      <c r="E44" s="236">
        <f t="shared" si="0"/>
        <v>340</v>
      </c>
      <c r="F44" s="237">
        <f t="shared" si="1"/>
        <v>101</v>
      </c>
      <c r="G44" s="238">
        <f t="shared" si="2"/>
        <v>100</v>
      </c>
      <c r="H44" s="236">
        <f t="shared" si="3"/>
        <v>90</v>
      </c>
      <c r="I44" s="239">
        <f t="shared" si="4"/>
        <v>90</v>
      </c>
      <c r="J44" s="240">
        <f t="shared" si="5"/>
        <v>90</v>
      </c>
      <c r="L44" s="18">
        <f t="shared" si="6"/>
        <v>101</v>
      </c>
    </row>
    <row r="45" spans="1:12" ht="12.75">
      <c r="A45" s="8">
        <v>8321865</v>
      </c>
      <c r="B45" s="202">
        <v>105</v>
      </c>
      <c r="C45" s="203">
        <v>93</v>
      </c>
      <c r="D45" s="2"/>
      <c r="E45" s="236">
        <f t="shared" si="0"/>
        <v>300</v>
      </c>
      <c r="F45" s="237">
        <f t="shared" si="1"/>
        <v>93</v>
      </c>
      <c r="G45" s="238">
        <f t="shared" si="2"/>
        <v>100</v>
      </c>
      <c r="H45" s="236">
        <f t="shared" si="3"/>
        <v>30</v>
      </c>
      <c r="I45" s="239">
        <f t="shared" si="4"/>
        <v>30</v>
      </c>
      <c r="J45" s="240">
        <f t="shared" si="5"/>
        <v>30</v>
      </c>
      <c r="L45" s="18">
        <f t="shared" si="6"/>
        <v>0</v>
      </c>
    </row>
    <row r="46" spans="1:12" ht="12.75">
      <c r="A46" s="8">
        <v>8322037</v>
      </c>
      <c r="B46" s="202">
        <v>106</v>
      </c>
      <c r="C46" s="203">
        <v>443</v>
      </c>
      <c r="E46" s="236">
        <f t="shared" si="0"/>
        <v>320</v>
      </c>
      <c r="F46" s="237">
        <f t="shared" si="1"/>
        <v>320</v>
      </c>
      <c r="G46" s="238">
        <f t="shared" si="2"/>
        <v>72</v>
      </c>
      <c r="H46" s="236">
        <f t="shared" si="3"/>
        <v>60</v>
      </c>
      <c r="I46" s="239">
        <f t="shared" si="4"/>
        <v>60</v>
      </c>
      <c r="J46" s="240">
        <f t="shared" si="5"/>
        <v>60</v>
      </c>
      <c r="L46" s="18">
        <f t="shared" si="6"/>
        <v>0</v>
      </c>
    </row>
    <row r="47" spans="1:13" ht="12.75">
      <c r="A47"/>
      <c r="B47" s="127"/>
      <c r="C47"/>
      <c r="D47"/>
      <c r="E47"/>
      <c r="F47"/>
      <c r="G47"/>
      <c r="H47"/>
      <c r="I47"/>
      <c r="J47"/>
      <c r="L47"/>
      <c r="M47"/>
    </row>
    <row r="48" spans="1:12" ht="12.75">
      <c r="A48"/>
      <c r="B48" s="51" t="s">
        <v>97</v>
      </c>
      <c r="C48" s="16">
        <f>AVERAGE(B15:B46)</f>
        <v>106.71875</v>
      </c>
      <c r="D48"/>
      <c r="E48"/>
      <c r="F48"/>
      <c r="G48"/>
      <c r="H48"/>
      <c r="I48"/>
      <c r="J48"/>
      <c r="L48"/>
    </row>
    <row r="49" spans="1:12" ht="12.75">
      <c r="A49"/>
      <c r="B49" s="51" t="s">
        <v>99</v>
      </c>
      <c r="C49" s="16">
        <f>STDEV(B15:B46)</f>
        <v>5.437233493654299</v>
      </c>
      <c r="D49"/>
      <c r="E49"/>
      <c r="F49"/>
      <c r="G49"/>
      <c r="H49"/>
      <c r="I49"/>
      <c r="J49"/>
      <c r="L49"/>
    </row>
    <row r="50" spans="1:12" ht="12.75">
      <c r="A50"/>
      <c r="B50"/>
      <c r="C50"/>
      <c r="D50"/>
      <c r="E50"/>
      <c r="F50"/>
      <c r="G50"/>
      <c r="H50"/>
      <c r="I50"/>
      <c r="J50"/>
      <c r="L50"/>
    </row>
    <row r="51" spans="1:12" ht="12.75">
      <c r="A51"/>
      <c r="B51"/>
      <c r="C51"/>
      <c r="D51"/>
      <c r="E51"/>
      <c r="F51"/>
      <c r="G51"/>
      <c r="H51"/>
      <c r="I51"/>
      <c r="J51"/>
      <c r="L51"/>
    </row>
    <row r="52" spans="1:12" ht="12.75">
      <c r="A52"/>
      <c r="B52"/>
      <c r="C52"/>
      <c r="D52"/>
      <c r="E52"/>
      <c r="F52"/>
      <c r="G52"/>
      <c r="H52"/>
      <c r="I52"/>
      <c r="J52"/>
      <c r="L52"/>
    </row>
    <row r="60" ht="12.75">
      <c r="E60" s="2"/>
    </row>
    <row r="62" ht="12.75">
      <c r="A62" s="6"/>
    </row>
  </sheetData>
  <mergeCells count="1">
    <mergeCell ref="A12:C12"/>
  </mergeCells>
  <printOptions gridLines="1"/>
  <pageMargins left="0.75" right="0.75" top="1" bottom="1" header="0.5" footer="0.5"/>
  <pageSetup horizontalDpi="600" verticalDpi="600" orientation="portrait" paperSize="9" r:id="rId4"/>
  <headerFooter alignWithMargins="0">
    <oddHeader>&amp;C&amp;F</oddHeader>
    <oddFooter>&amp;CPage &amp;P</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5"/>
  <dimension ref="A1:T118"/>
  <sheetViews>
    <sheetView workbookViewId="0" topLeftCell="A7">
      <selection activeCell="A1" sqref="A1"/>
    </sheetView>
  </sheetViews>
  <sheetFormatPr defaultColWidth="9.140625" defaultRowHeight="12.75"/>
  <cols>
    <col min="1" max="2" width="7.57421875" style="1" customWidth="1"/>
    <col min="3" max="3" width="8.8515625" style="1" customWidth="1"/>
    <col min="4" max="4" width="4.00390625" style="1" customWidth="1"/>
    <col min="5" max="5" width="6.28125" style="1" customWidth="1"/>
    <col min="6" max="6" width="8.57421875" style="1" customWidth="1"/>
    <col min="7" max="7" width="5.140625" style="1" customWidth="1"/>
    <col min="8" max="8" width="6.28125" style="1" customWidth="1"/>
    <col min="9" max="9" width="8.57421875" style="1" customWidth="1"/>
    <col min="10" max="10" width="4.7109375" style="1" customWidth="1"/>
    <col min="11" max="11" width="5.7109375" style="1" customWidth="1"/>
    <col min="12" max="12" width="9.00390625" style="1" customWidth="1"/>
    <col min="13" max="16" width="5.7109375" style="1" customWidth="1"/>
    <col min="17" max="16384" width="9.140625" style="1" customWidth="1"/>
  </cols>
  <sheetData>
    <row r="1" spans="1:12" ht="26.25" customHeight="1">
      <c r="A1" s="36" t="s">
        <v>325</v>
      </c>
      <c r="L1" s="6" t="s">
        <v>326</v>
      </c>
    </row>
    <row r="2" spans="1:14" ht="12.75">
      <c r="A2" s="13"/>
      <c r="L2"/>
      <c r="N2"/>
    </row>
    <row r="3" spans="1:14" ht="12.75">
      <c r="A3"/>
      <c r="N3" s="6" t="s">
        <v>334</v>
      </c>
    </row>
    <row r="4" ht="15.75">
      <c r="A4" t="s">
        <v>316</v>
      </c>
    </row>
    <row r="5" ht="12.75">
      <c r="A5"/>
    </row>
    <row r="6" spans="1:12" ht="12.75">
      <c r="A6" s="39"/>
      <c r="B6" s="41" t="s">
        <v>88</v>
      </c>
      <c r="C6" s="40"/>
      <c r="D6" s="40"/>
      <c r="E6" s="41" t="s">
        <v>89</v>
      </c>
      <c r="F6" s="40"/>
      <c r="G6" s="40"/>
      <c r="H6" s="40"/>
      <c r="I6" s="40"/>
      <c r="J6" s="40"/>
      <c r="K6" s="41" t="s">
        <v>332</v>
      </c>
      <c r="L6" s="40"/>
    </row>
    <row r="7" spans="2:12" ht="12.75">
      <c r="B7" s="201" t="s">
        <v>128</v>
      </c>
      <c r="C7" s="207">
        <f>ROWS(B16:B102)</f>
        <v>87</v>
      </c>
      <c r="D7" s="44"/>
      <c r="E7" s="1" t="s">
        <v>91</v>
      </c>
      <c r="F7" s="208">
        <f>COUNTIF(F16:F102,"&gt;0")</f>
        <v>72</v>
      </c>
      <c r="H7" s="1" t="s">
        <v>92</v>
      </c>
      <c r="I7" s="208">
        <f>COUNTIF(I16:I102,"&gt;0")</f>
        <v>70</v>
      </c>
      <c r="J7" s="44"/>
      <c r="K7" s="65"/>
      <c r="L7" s="208">
        <f>COUNTIF(L16:L102,"&gt;0")</f>
        <v>43</v>
      </c>
    </row>
    <row r="8" spans="2:20" ht="12.75">
      <c r="B8" s="6" t="s">
        <v>93</v>
      </c>
      <c r="C8" s="9">
        <f>SUM(C16:C102)</f>
        <v>1157</v>
      </c>
      <c r="D8" s="2"/>
      <c r="E8"/>
      <c r="F8" s="46">
        <f>SUM(F16:F102)</f>
        <v>572.5439999999999</v>
      </c>
      <c r="G8" s="3"/>
      <c r="H8"/>
      <c r="I8" s="46">
        <f>SUM(I16:I102)</f>
        <v>429.1900000000001</v>
      </c>
      <c r="K8" s="20"/>
      <c r="L8" s="46">
        <f>SUM(L16:L102)</f>
        <v>573</v>
      </c>
      <c r="M8" s="6"/>
      <c r="T8" s="14"/>
    </row>
    <row r="9" spans="2:20" ht="12.75">
      <c r="B9" s="49" t="s">
        <v>77</v>
      </c>
      <c r="C9" s="12">
        <f>SUMPRODUCT($B16:$B102,C16:C102)/C8</f>
        <v>7.055116681071736</v>
      </c>
      <c r="E9"/>
      <c r="F9" s="47">
        <f>SUMPRODUCT($B16:$B102,F16:F102)/F8</f>
        <v>7.492608009166108</v>
      </c>
      <c r="H9"/>
      <c r="I9" s="47">
        <f>SUMPRODUCT($B16:$B102,I16:I102)/I8</f>
        <v>7.567168153964448</v>
      </c>
      <c r="L9" s="47">
        <f>SUMPRODUCT($B16:$B102,L16:L102)/L8</f>
        <v>7.5619546247818485</v>
      </c>
      <c r="M9" s="6" t="s">
        <v>94</v>
      </c>
      <c r="T9" s="13"/>
    </row>
    <row r="10" spans="2:20" s="44" customFormat="1" ht="15.75">
      <c r="B10" s="50" t="s">
        <v>95</v>
      </c>
      <c r="C10" s="43">
        <f>C8*C8/SUMSQ(C16:C102)</f>
        <v>85.6845036164629</v>
      </c>
      <c r="D10" s="42"/>
      <c r="E10"/>
      <c r="F10" s="48">
        <f>F8*F8/SUMSQ(F16:F102)</f>
        <v>57.27485018180758</v>
      </c>
      <c r="H10"/>
      <c r="I10" s="48">
        <f>I8*I8/SUMSQ(I16:I102)</f>
        <v>50.51682651836949</v>
      </c>
      <c r="L10" s="77">
        <f>L8*L8/SUMSQ(L16:L102)</f>
        <v>42.43621558743699</v>
      </c>
      <c r="M10" t="s">
        <v>3</v>
      </c>
      <c r="T10" t="s">
        <v>96</v>
      </c>
    </row>
    <row r="11" spans="2:20" ht="15.75">
      <c r="B11" s="49" t="s">
        <v>98</v>
      </c>
      <c r="C11" s="205" t="s">
        <v>329</v>
      </c>
      <c r="E11" s="49"/>
      <c r="F11" s="45">
        <v>6.5</v>
      </c>
      <c r="H11" s="49"/>
      <c r="I11" s="45">
        <v>6.6</v>
      </c>
      <c r="K11" s="49"/>
      <c r="L11" s="45">
        <v>7.08</v>
      </c>
      <c r="M11"/>
      <c r="T11" t="s">
        <v>8</v>
      </c>
    </row>
    <row r="12" spans="2:20" ht="15.75">
      <c r="B12" s="51" t="s">
        <v>100</v>
      </c>
      <c r="C12" s="204">
        <v>0</v>
      </c>
      <c r="E12" s="51"/>
      <c r="F12" s="203">
        <v>11.2</v>
      </c>
      <c r="H12" s="51"/>
      <c r="I12" s="203">
        <v>9</v>
      </c>
      <c r="K12" s="51"/>
      <c r="L12" s="205" t="s">
        <v>328</v>
      </c>
      <c r="M12" s="14" t="s">
        <v>81</v>
      </c>
      <c r="T12" t="s">
        <v>101</v>
      </c>
    </row>
    <row r="13" spans="1:15" ht="12.75">
      <c r="A13" s="215" t="s">
        <v>88</v>
      </c>
      <c r="B13" s="215"/>
      <c r="C13" s="215"/>
      <c r="D13" s="68"/>
      <c r="E13" s="67" t="s">
        <v>89</v>
      </c>
      <c r="F13" s="66"/>
      <c r="G13" s="66"/>
      <c r="H13" s="66"/>
      <c r="I13" s="66"/>
      <c r="J13" s="68"/>
      <c r="K13" s="40" t="s">
        <v>90</v>
      </c>
      <c r="L13" s="66"/>
      <c r="M13"/>
      <c r="O13" s="6"/>
    </row>
    <row r="14" spans="2:15" ht="12.75">
      <c r="B14" s="6" t="s">
        <v>102</v>
      </c>
      <c r="E14" s="6" t="s">
        <v>330</v>
      </c>
      <c r="H14" s="6" t="s">
        <v>331</v>
      </c>
      <c r="K14"/>
      <c r="M14"/>
      <c r="O14" s="6"/>
    </row>
    <row r="15" spans="1:13" ht="12.75">
      <c r="A15" s="37" t="s">
        <v>20</v>
      </c>
      <c r="B15" s="38" t="s">
        <v>323</v>
      </c>
      <c r="C15" s="37" t="s">
        <v>324</v>
      </c>
      <c r="D15" s="37"/>
      <c r="E15" s="37" t="s">
        <v>104</v>
      </c>
      <c r="F15" s="37" t="s">
        <v>105</v>
      </c>
      <c r="G15" s="38" t="s">
        <v>333</v>
      </c>
      <c r="H15" s="37" t="s">
        <v>104</v>
      </c>
      <c r="I15" s="37" t="s">
        <v>106</v>
      </c>
      <c r="J15" s="37"/>
      <c r="K15"/>
      <c r="L15" s="37" t="s">
        <v>107</v>
      </c>
      <c r="M15"/>
    </row>
    <row r="16" spans="1:13" ht="12.75">
      <c r="A16" s="8">
        <v>1</v>
      </c>
      <c r="B16" s="202">
        <v>7.39</v>
      </c>
      <c r="C16" s="203">
        <v>15</v>
      </c>
      <c r="E16" s="206">
        <f aca="true" t="shared" si="0" ref="E16:E47">MAX(0,F$12*($B16-F$11))</f>
        <v>9.967999999999996</v>
      </c>
      <c r="F16" s="19">
        <f aca="true" t="shared" si="1" ref="F16:F102">MIN(E16,$C16)</f>
        <v>9.967999999999996</v>
      </c>
      <c r="G16" s="1">
        <f>INT(F16*100/C16+0.5)</f>
        <v>66</v>
      </c>
      <c r="H16" s="206">
        <f aca="true" t="shared" si="2" ref="H16:H47">MAX(0,I$12*($B16-I$11))</f>
        <v>7.11</v>
      </c>
      <c r="I16" s="19">
        <f aca="true" t="shared" si="3" ref="I16:I102">MIN(H16,$C16)</f>
        <v>7.11</v>
      </c>
      <c r="K16"/>
      <c r="L16" s="18">
        <f>IF(B16&lt;=L$11,0,C16)</f>
        <v>15</v>
      </c>
      <c r="M16"/>
    </row>
    <row r="17" spans="1:13" ht="12.75">
      <c r="A17" s="8">
        <v>3</v>
      </c>
      <c r="B17" s="202">
        <v>7.25</v>
      </c>
      <c r="C17" s="203">
        <v>15</v>
      </c>
      <c r="E17" s="206">
        <f t="shared" si="0"/>
        <v>8.399999999999999</v>
      </c>
      <c r="F17" s="19">
        <f t="shared" si="1"/>
        <v>8.399999999999999</v>
      </c>
      <c r="G17" s="1">
        <f aca="true" t="shared" si="4" ref="G17:G80">INT(F17*100/C17+0.5)</f>
        <v>56</v>
      </c>
      <c r="H17" s="206">
        <f t="shared" si="2"/>
        <v>5.850000000000003</v>
      </c>
      <c r="I17" s="19">
        <f t="shared" si="3"/>
        <v>5.850000000000003</v>
      </c>
      <c r="K17"/>
      <c r="L17" s="18">
        <f aca="true" t="shared" si="5" ref="L17:L80">IF(B17&lt;=L$11,0,C17)</f>
        <v>15</v>
      </c>
      <c r="M17"/>
    </row>
    <row r="18" spans="1:13" ht="12.75">
      <c r="A18" s="8">
        <v>4</v>
      </c>
      <c r="B18" s="202">
        <v>7.14</v>
      </c>
      <c r="C18" s="203">
        <v>14</v>
      </c>
      <c r="E18" s="206">
        <f t="shared" si="0"/>
        <v>7.167999999999996</v>
      </c>
      <c r="F18" s="19">
        <f t="shared" si="1"/>
        <v>7.167999999999996</v>
      </c>
      <c r="G18" s="1">
        <f t="shared" si="4"/>
        <v>51</v>
      </c>
      <c r="H18" s="206">
        <f t="shared" si="2"/>
        <v>4.86</v>
      </c>
      <c r="I18" s="19">
        <f t="shared" si="3"/>
        <v>4.86</v>
      </c>
      <c r="K18"/>
      <c r="L18" s="18">
        <f t="shared" si="5"/>
        <v>14</v>
      </c>
      <c r="M18"/>
    </row>
    <row r="19" spans="1:13" ht="12.75">
      <c r="A19" s="8">
        <v>6</v>
      </c>
      <c r="B19" s="202">
        <v>8.03</v>
      </c>
      <c r="C19" s="203">
        <v>12</v>
      </c>
      <c r="E19" s="206">
        <f t="shared" si="0"/>
        <v>17.135999999999992</v>
      </c>
      <c r="F19" s="19">
        <f t="shared" si="1"/>
        <v>12</v>
      </c>
      <c r="G19" s="1">
        <f t="shared" si="4"/>
        <v>100</v>
      </c>
      <c r="H19" s="206">
        <f t="shared" si="2"/>
        <v>12.869999999999997</v>
      </c>
      <c r="I19" s="19">
        <f t="shared" si="3"/>
        <v>12</v>
      </c>
      <c r="K19"/>
      <c r="L19" s="18">
        <f t="shared" si="5"/>
        <v>12</v>
      </c>
      <c r="M19"/>
    </row>
    <row r="20" spans="1:13" ht="12.75">
      <c r="A20" s="8">
        <v>7</v>
      </c>
      <c r="B20" s="202">
        <v>6.99</v>
      </c>
      <c r="C20" s="203">
        <v>15</v>
      </c>
      <c r="E20" s="206">
        <f t="shared" si="0"/>
        <v>5.488000000000002</v>
      </c>
      <c r="F20" s="19">
        <f t="shared" si="1"/>
        <v>5.488000000000002</v>
      </c>
      <c r="G20" s="1">
        <f t="shared" si="4"/>
        <v>37</v>
      </c>
      <c r="H20" s="206">
        <f t="shared" si="2"/>
        <v>3.510000000000005</v>
      </c>
      <c r="I20" s="19">
        <f t="shared" si="3"/>
        <v>3.510000000000005</v>
      </c>
      <c r="L20" s="18">
        <f t="shared" si="5"/>
        <v>0</v>
      </c>
      <c r="M20"/>
    </row>
    <row r="21" spans="1:13" ht="12.75">
      <c r="A21" s="8">
        <v>9</v>
      </c>
      <c r="B21" s="202">
        <v>7.25</v>
      </c>
      <c r="C21" s="203">
        <v>14</v>
      </c>
      <c r="E21" s="206">
        <f t="shared" si="0"/>
        <v>8.399999999999999</v>
      </c>
      <c r="F21" s="19">
        <f t="shared" si="1"/>
        <v>8.399999999999999</v>
      </c>
      <c r="G21" s="1">
        <f t="shared" si="4"/>
        <v>60</v>
      </c>
      <c r="H21" s="206">
        <f t="shared" si="2"/>
        <v>5.850000000000003</v>
      </c>
      <c r="I21" s="19">
        <f t="shared" si="3"/>
        <v>5.850000000000003</v>
      </c>
      <c r="L21" s="18">
        <f t="shared" si="5"/>
        <v>14</v>
      </c>
      <c r="M21"/>
    </row>
    <row r="22" spans="1:13" ht="12.75">
      <c r="A22" s="8">
        <v>10</v>
      </c>
      <c r="B22" s="202">
        <v>7.03</v>
      </c>
      <c r="C22" s="203">
        <v>11</v>
      </c>
      <c r="E22" s="206">
        <f t="shared" si="0"/>
        <v>5.936000000000003</v>
      </c>
      <c r="F22" s="19">
        <f t="shared" si="1"/>
        <v>5.936000000000003</v>
      </c>
      <c r="G22" s="1">
        <f t="shared" si="4"/>
        <v>54</v>
      </c>
      <c r="H22" s="206">
        <f t="shared" si="2"/>
        <v>3.8700000000000054</v>
      </c>
      <c r="I22" s="19">
        <f t="shared" si="3"/>
        <v>3.8700000000000054</v>
      </c>
      <c r="L22" s="18">
        <f t="shared" si="5"/>
        <v>0</v>
      </c>
      <c r="M22"/>
    </row>
    <row r="23" spans="1:13" ht="12.75">
      <c r="A23" s="8">
        <v>12</v>
      </c>
      <c r="B23" s="202">
        <v>5.54</v>
      </c>
      <c r="C23" s="203">
        <v>15</v>
      </c>
      <c r="E23" s="206">
        <f t="shared" si="0"/>
        <v>0</v>
      </c>
      <c r="F23" s="19">
        <f t="shared" si="1"/>
        <v>0</v>
      </c>
      <c r="G23" s="1">
        <f t="shared" si="4"/>
        <v>0</v>
      </c>
      <c r="H23" s="206">
        <f t="shared" si="2"/>
        <v>0</v>
      </c>
      <c r="I23" s="19">
        <f t="shared" si="3"/>
        <v>0</v>
      </c>
      <c r="L23" s="18">
        <f t="shared" si="5"/>
        <v>0</v>
      </c>
      <c r="M23"/>
    </row>
    <row r="24" spans="1:13" ht="12.75">
      <c r="A24" s="8">
        <v>14</v>
      </c>
      <c r="B24" s="202">
        <v>6.76</v>
      </c>
      <c r="C24" s="203">
        <v>15</v>
      </c>
      <c r="E24" s="206">
        <f t="shared" si="0"/>
        <v>2.9119999999999973</v>
      </c>
      <c r="F24" s="19">
        <f t="shared" si="1"/>
        <v>2.9119999999999973</v>
      </c>
      <c r="G24" s="1">
        <f t="shared" si="4"/>
        <v>19</v>
      </c>
      <c r="H24" s="206">
        <f t="shared" si="2"/>
        <v>1.4400000000000013</v>
      </c>
      <c r="I24" s="19">
        <f t="shared" si="3"/>
        <v>1.4400000000000013</v>
      </c>
      <c r="L24" s="18">
        <f t="shared" si="5"/>
        <v>0</v>
      </c>
      <c r="M24"/>
    </row>
    <row r="25" spans="1:13" ht="12.75">
      <c r="A25" s="8">
        <v>15</v>
      </c>
      <c r="B25" s="202">
        <v>7.02</v>
      </c>
      <c r="C25" s="203">
        <v>15</v>
      </c>
      <c r="E25" s="206">
        <f t="shared" si="0"/>
        <v>5.8239999999999945</v>
      </c>
      <c r="F25" s="19">
        <f t="shared" si="1"/>
        <v>5.8239999999999945</v>
      </c>
      <c r="G25" s="1">
        <f t="shared" si="4"/>
        <v>39</v>
      </c>
      <c r="H25" s="206">
        <f t="shared" si="2"/>
        <v>3.7799999999999994</v>
      </c>
      <c r="I25" s="19">
        <f t="shared" si="3"/>
        <v>3.7799999999999994</v>
      </c>
      <c r="L25" s="18">
        <f t="shared" si="5"/>
        <v>0</v>
      </c>
      <c r="M25"/>
    </row>
    <row r="26" spans="1:13" ht="12.75">
      <c r="A26" s="8">
        <v>16</v>
      </c>
      <c r="B26" s="202">
        <v>7.32</v>
      </c>
      <c r="C26" s="203">
        <v>13</v>
      </c>
      <c r="E26" s="206">
        <f t="shared" si="0"/>
        <v>9.184000000000003</v>
      </c>
      <c r="F26" s="19">
        <f t="shared" si="1"/>
        <v>9.184000000000003</v>
      </c>
      <c r="G26" s="1">
        <f t="shared" si="4"/>
        <v>71</v>
      </c>
      <c r="H26" s="206">
        <f t="shared" si="2"/>
        <v>6.480000000000006</v>
      </c>
      <c r="I26" s="19">
        <f t="shared" si="3"/>
        <v>6.480000000000006</v>
      </c>
      <c r="L26" s="18">
        <f t="shared" si="5"/>
        <v>13</v>
      </c>
      <c r="M26"/>
    </row>
    <row r="27" spans="1:13" ht="12.75">
      <c r="A27" s="8">
        <v>17</v>
      </c>
      <c r="B27" s="202">
        <v>8.26</v>
      </c>
      <c r="C27" s="203">
        <v>15</v>
      </c>
      <c r="E27" s="206">
        <f t="shared" si="0"/>
        <v>19.711999999999996</v>
      </c>
      <c r="F27" s="19">
        <f t="shared" si="1"/>
        <v>15</v>
      </c>
      <c r="G27" s="1">
        <f t="shared" si="4"/>
        <v>100</v>
      </c>
      <c r="H27" s="206">
        <f t="shared" si="2"/>
        <v>14.940000000000001</v>
      </c>
      <c r="I27" s="19">
        <f t="shared" si="3"/>
        <v>14.940000000000001</v>
      </c>
      <c r="L27" s="18">
        <f t="shared" si="5"/>
        <v>15</v>
      </c>
      <c r="M27"/>
    </row>
    <row r="28" spans="1:13" ht="12.75">
      <c r="A28" s="8">
        <v>19</v>
      </c>
      <c r="B28" s="202">
        <v>7.4</v>
      </c>
      <c r="C28" s="203">
        <v>10</v>
      </c>
      <c r="E28" s="206">
        <f t="shared" si="0"/>
        <v>10.080000000000004</v>
      </c>
      <c r="F28" s="19">
        <f t="shared" si="1"/>
        <v>10</v>
      </c>
      <c r="G28" s="1">
        <f t="shared" si="4"/>
        <v>100</v>
      </c>
      <c r="H28" s="206">
        <f t="shared" si="2"/>
        <v>7.200000000000006</v>
      </c>
      <c r="I28" s="19">
        <f t="shared" si="3"/>
        <v>7.200000000000006</v>
      </c>
      <c r="L28" s="18">
        <f t="shared" si="5"/>
        <v>10</v>
      </c>
      <c r="M28"/>
    </row>
    <row r="29" spans="1:13" ht="12.75">
      <c r="A29" s="8">
        <v>20</v>
      </c>
      <c r="B29" s="202">
        <v>6.86</v>
      </c>
      <c r="C29" s="203">
        <v>15</v>
      </c>
      <c r="E29" s="206">
        <f t="shared" si="0"/>
        <v>4.032000000000004</v>
      </c>
      <c r="F29" s="19">
        <f t="shared" si="1"/>
        <v>4.032000000000004</v>
      </c>
      <c r="G29" s="1">
        <f t="shared" si="4"/>
        <v>27</v>
      </c>
      <c r="H29" s="206">
        <f t="shared" si="2"/>
        <v>2.340000000000006</v>
      </c>
      <c r="I29" s="19">
        <f t="shared" si="3"/>
        <v>2.340000000000006</v>
      </c>
      <c r="L29" s="18">
        <f t="shared" si="5"/>
        <v>0</v>
      </c>
      <c r="M29"/>
    </row>
    <row r="30" spans="1:13" ht="12.75">
      <c r="A30" s="8">
        <v>22</v>
      </c>
      <c r="B30" s="202">
        <v>7.28</v>
      </c>
      <c r="C30" s="203">
        <v>14</v>
      </c>
      <c r="E30" s="206">
        <f t="shared" si="0"/>
        <v>8.736000000000002</v>
      </c>
      <c r="F30" s="19">
        <f t="shared" si="1"/>
        <v>8.736000000000002</v>
      </c>
      <c r="G30" s="1">
        <f t="shared" si="4"/>
        <v>62</v>
      </c>
      <c r="H30" s="206">
        <f t="shared" si="2"/>
        <v>6.120000000000005</v>
      </c>
      <c r="I30" s="19">
        <f t="shared" si="3"/>
        <v>6.120000000000005</v>
      </c>
      <c r="L30" s="18">
        <f t="shared" si="5"/>
        <v>14</v>
      </c>
      <c r="M30"/>
    </row>
    <row r="31" spans="1:13" ht="12.75">
      <c r="A31" s="8">
        <v>23</v>
      </c>
      <c r="B31" s="202">
        <v>6.93</v>
      </c>
      <c r="C31" s="203">
        <v>12</v>
      </c>
      <c r="E31" s="206">
        <f t="shared" si="0"/>
        <v>4.815999999999996</v>
      </c>
      <c r="F31" s="19">
        <f t="shared" si="1"/>
        <v>4.815999999999996</v>
      </c>
      <c r="G31" s="1">
        <f t="shared" si="4"/>
        <v>40</v>
      </c>
      <c r="H31" s="206">
        <f t="shared" si="2"/>
        <v>2.9700000000000006</v>
      </c>
      <c r="I31" s="19">
        <f t="shared" si="3"/>
        <v>2.9700000000000006</v>
      </c>
      <c r="L31" s="18">
        <f t="shared" si="5"/>
        <v>0</v>
      </c>
      <c r="M31"/>
    </row>
    <row r="32" spans="1:13" ht="12.75">
      <c r="A32" s="8">
        <v>26</v>
      </c>
      <c r="B32" s="202">
        <v>7.87</v>
      </c>
      <c r="C32" s="203">
        <v>14</v>
      </c>
      <c r="E32" s="206">
        <f t="shared" si="0"/>
        <v>15.344</v>
      </c>
      <c r="F32" s="19">
        <f t="shared" si="1"/>
        <v>14</v>
      </c>
      <c r="G32" s="1">
        <f t="shared" si="4"/>
        <v>100</v>
      </c>
      <c r="H32" s="206">
        <f t="shared" si="2"/>
        <v>11.430000000000003</v>
      </c>
      <c r="I32" s="19">
        <f t="shared" si="3"/>
        <v>11.430000000000003</v>
      </c>
      <c r="L32" s="18">
        <f t="shared" si="5"/>
        <v>14</v>
      </c>
      <c r="M32"/>
    </row>
    <row r="33" spans="1:13" ht="12.75">
      <c r="A33" s="8">
        <v>31</v>
      </c>
      <c r="B33" s="202">
        <v>6.92</v>
      </c>
      <c r="C33" s="203">
        <v>15</v>
      </c>
      <c r="E33" s="206">
        <f t="shared" si="0"/>
        <v>4.703999999999999</v>
      </c>
      <c r="F33" s="19">
        <f t="shared" si="1"/>
        <v>4.703999999999999</v>
      </c>
      <c r="G33" s="1">
        <f t="shared" si="4"/>
        <v>31</v>
      </c>
      <c r="H33" s="206">
        <f t="shared" si="2"/>
        <v>2.8800000000000026</v>
      </c>
      <c r="I33" s="19">
        <f t="shared" si="3"/>
        <v>2.8800000000000026</v>
      </c>
      <c r="L33" s="18">
        <f t="shared" si="5"/>
        <v>0</v>
      </c>
      <c r="M33"/>
    </row>
    <row r="34" spans="1:13" ht="12.75">
      <c r="A34" s="8">
        <v>33</v>
      </c>
      <c r="B34" s="202">
        <v>7.12</v>
      </c>
      <c r="C34" s="203">
        <v>15</v>
      </c>
      <c r="E34" s="206">
        <f t="shared" si="0"/>
        <v>6.944000000000001</v>
      </c>
      <c r="F34" s="19">
        <f t="shared" si="1"/>
        <v>6.944000000000001</v>
      </c>
      <c r="G34" s="1">
        <f t="shared" si="4"/>
        <v>46</v>
      </c>
      <c r="H34" s="206">
        <f t="shared" si="2"/>
        <v>4.680000000000004</v>
      </c>
      <c r="I34" s="19">
        <f t="shared" si="3"/>
        <v>4.680000000000004</v>
      </c>
      <c r="L34" s="18">
        <f t="shared" si="5"/>
        <v>15</v>
      </c>
      <c r="M34"/>
    </row>
    <row r="35" spans="1:13" ht="12.75">
      <c r="A35" s="8">
        <v>34</v>
      </c>
      <c r="B35" s="202">
        <v>6.37</v>
      </c>
      <c r="C35" s="203">
        <v>14</v>
      </c>
      <c r="E35" s="206">
        <f t="shared" si="0"/>
        <v>0</v>
      </c>
      <c r="F35" s="19">
        <f t="shared" si="1"/>
        <v>0</v>
      </c>
      <c r="G35" s="1">
        <f t="shared" si="4"/>
        <v>0</v>
      </c>
      <c r="H35" s="206">
        <f t="shared" si="2"/>
        <v>0</v>
      </c>
      <c r="I35" s="19">
        <f t="shared" si="3"/>
        <v>0</v>
      </c>
      <c r="L35" s="18">
        <f t="shared" si="5"/>
        <v>0</v>
      </c>
      <c r="M35"/>
    </row>
    <row r="36" spans="1:13" ht="12.75">
      <c r="A36" s="8">
        <v>35</v>
      </c>
      <c r="B36" s="202">
        <v>5.62</v>
      </c>
      <c r="C36" s="203">
        <v>14</v>
      </c>
      <c r="E36" s="206">
        <f t="shared" si="0"/>
        <v>0</v>
      </c>
      <c r="F36" s="19">
        <f t="shared" si="1"/>
        <v>0</v>
      </c>
      <c r="G36" s="1">
        <f t="shared" si="4"/>
        <v>0</v>
      </c>
      <c r="H36" s="206">
        <f t="shared" si="2"/>
        <v>0</v>
      </c>
      <c r="I36" s="19">
        <f t="shared" si="3"/>
        <v>0</v>
      </c>
      <c r="L36" s="18">
        <f t="shared" si="5"/>
        <v>0</v>
      </c>
      <c r="M36"/>
    </row>
    <row r="37" spans="1:13" ht="12.75">
      <c r="A37" s="8">
        <v>43</v>
      </c>
      <c r="B37" s="202">
        <v>6.28</v>
      </c>
      <c r="C37" s="203">
        <v>11</v>
      </c>
      <c r="E37" s="206">
        <f t="shared" si="0"/>
        <v>0</v>
      </c>
      <c r="F37" s="19">
        <f t="shared" si="1"/>
        <v>0</v>
      </c>
      <c r="G37" s="1">
        <f t="shared" si="4"/>
        <v>0</v>
      </c>
      <c r="H37" s="206">
        <f t="shared" si="2"/>
        <v>0</v>
      </c>
      <c r="I37" s="19">
        <f t="shared" si="3"/>
        <v>0</v>
      </c>
      <c r="L37" s="18">
        <f t="shared" si="5"/>
        <v>0</v>
      </c>
      <c r="M37"/>
    </row>
    <row r="38" spans="1:13" ht="12.75">
      <c r="A38" s="8">
        <v>53</v>
      </c>
      <c r="B38" s="202">
        <v>7.5</v>
      </c>
      <c r="C38" s="203">
        <v>12</v>
      </c>
      <c r="E38" s="206">
        <f t="shared" si="0"/>
        <v>11.2</v>
      </c>
      <c r="F38" s="19">
        <f t="shared" si="1"/>
        <v>11.2</v>
      </c>
      <c r="G38" s="1">
        <f t="shared" si="4"/>
        <v>93</v>
      </c>
      <c r="H38" s="206">
        <f t="shared" si="2"/>
        <v>8.100000000000003</v>
      </c>
      <c r="I38" s="19">
        <f t="shared" si="3"/>
        <v>8.100000000000003</v>
      </c>
      <c r="L38" s="18">
        <f t="shared" si="5"/>
        <v>12</v>
      </c>
      <c r="M38"/>
    </row>
    <row r="39" spans="1:13" ht="12.75">
      <c r="A39" s="8">
        <v>63</v>
      </c>
      <c r="B39" s="202">
        <v>6.83</v>
      </c>
      <c r="C39" s="203">
        <v>15</v>
      </c>
      <c r="E39" s="206">
        <f t="shared" si="0"/>
        <v>3.6960000000000006</v>
      </c>
      <c r="F39" s="19">
        <f t="shared" si="1"/>
        <v>3.6960000000000006</v>
      </c>
      <c r="G39" s="1">
        <f t="shared" si="4"/>
        <v>25</v>
      </c>
      <c r="H39" s="206">
        <f t="shared" si="2"/>
        <v>2.070000000000004</v>
      </c>
      <c r="I39" s="19">
        <f t="shared" si="3"/>
        <v>2.070000000000004</v>
      </c>
      <c r="L39" s="18">
        <f t="shared" si="5"/>
        <v>0</v>
      </c>
      <c r="M39"/>
    </row>
    <row r="40" spans="1:13" ht="12.75">
      <c r="A40" s="8">
        <v>65</v>
      </c>
      <c r="B40" s="202">
        <v>6.32</v>
      </c>
      <c r="C40" s="203">
        <v>13</v>
      </c>
      <c r="E40" s="206">
        <f t="shared" si="0"/>
        <v>0</v>
      </c>
      <c r="F40" s="19">
        <f t="shared" si="1"/>
        <v>0</v>
      </c>
      <c r="G40" s="1">
        <f t="shared" si="4"/>
        <v>0</v>
      </c>
      <c r="H40" s="206">
        <f t="shared" si="2"/>
        <v>0</v>
      </c>
      <c r="I40" s="19">
        <f t="shared" si="3"/>
        <v>0</v>
      </c>
      <c r="L40" s="18">
        <f t="shared" si="5"/>
        <v>0</v>
      </c>
      <c r="M40"/>
    </row>
    <row r="41" spans="1:13" ht="12.75">
      <c r="A41" s="8">
        <v>66</v>
      </c>
      <c r="B41" s="202">
        <v>7.08</v>
      </c>
      <c r="C41" s="203">
        <v>14</v>
      </c>
      <c r="E41" s="206">
        <f t="shared" si="0"/>
        <v>6.496</v>
      </c>
      <c r="F41" s="19">
        <f t="shared" si="1"/>
        <v>6.496</v>
      </c>
      <c r="G41" s="1">
        <f t="shared" si="4"/>
        <v>46</v>
      </c>
      <c r="H41" s="206">
        <f t="shared" si="2"/>
        <v>4.320000000000004</v>
      </c>
      <c r="I41" s="19">
        <f t="shared" si="3"/>
        <v>4.320000000000004</v>
      </c>
      <c r="L41" s="18">
        <f t="shared" si="5"/>
        <v>0</v>
      </c>
      <c r="M41"/>
    </row>
    <row r="42" spans="1:13" ht="12.75">
      <c r="A42" s="8">
        <v>67</v>
      </c>
      <c r="B42" s="202">
        <v>6.98</v>
      </c>
      <c r="C42" s="203">
        <v>15</v>
      </c>
      <c r="E42" s="206">
        <f t="shared" si="0"/>
        <v>5.376000000000005</v>
      </c>
      <c r="F42" s="19">
        <f t="shared" si="1"/>
        <v>5.376000000000005</v>
      </c>
      <c r="G42" s="1">
        <f t="shared" si="4"/>
        <v>36</v>
      </c>
      <c r="H42" s="206">
        <f t="shared" si="2"/>
        <v>3.420000000000007</v>
      </c>
      <c r="I42" s="19">
        <f t="shared" si="3"/>
        <v>3.420000000000007</v>
      </c>
      <c r="L42" s="18">
        <f t="shared" si="5"/>
        <v>0</v>
      </c>
      <c r="M42"/>
    </row>
    <row r="43" spans="1:13" ht="12.75">
      <c r="A43" s="8">
        <v>68</v>
      </c>
      <c r="B43" s="202">
        <v>7.7</v>
      </c>
      <c r="C43" s="203">
        <v>10</v>
      </c>
      <c r="E43" s="206">
        <f t="shared" si="0"/>
        <v>13.440000000000001</v>
      </c>
      <c r="F43" s="19">
        <f t="shared" si="1"/>
        <v>10</v>
      </c>
      <c r="G43" s="1">
        <f t="shared" si="4"/>
        <v>100</v>
      </c>
      <c r="H43" s="206">
        <f t="shared" si="2"/>
        <v>9.900000000000006</v>
      </c>
      <c r="I43" s="19">
        <f t="shared" si="3"/>
        <v>9.900000000000006</v>
      </c>
      <c r="L43" s="18">
        <f t="shared" si="5"/>
        <v>10</v>
      </c>
      <c r="M43"/>
    </row>
    <row r="44" spans="1:13" ht="12.75">
      <c r="A44" s="8">
        <v>69</v>
      </c>
      <c r="B44" s="202">
        <v>8.23</v>
      </c>
      <c r="C44" s="203">
        <v>14</v>
      </c>
      <c r="E44" s="206">
        <f t="shared" si="0"/>
        <v>19.376000000000005</v>
      </c>
      <c r="F44" s="19">
        <f t="shared" si="1"/>
        <v>14</v>
      </c>
      <c r="G44" s="1">
        <f t="shared" si="4"/>
        <v>100</v>
      </c>
      <c r="H44" s="206">
        <f t="shared" si="2"/>
        <v>14.670000000000007</v>
      </c>
      <c r="I44" s="19">
        <f t="shared" si="3"/>
        <v>14</v>
      </c>
      <c r="L44" s="18">
        <f t="shared" si="5"/>
        <v>14</v>
      </c>
      <c r="M44"/>
    </row>
    <row r="45" spans="1:13" ht="12.75">
      <c r="A45" s="8">
        <v>70</v>
      </c>
      <c r="B45" s="202">
        <v>7.07</v>
      </c>
      <c r="C45" s="203">
        <v>12</v>
      </c>
      <c r="E45" s="206">
        <f t="shared" si="0"/>
        <v>6.384000000000003</v>
      </c>
      <c r="F45" s="19">
        <f t="shared" si="1"/>
        <v>6.384000000000003</v>
      </c>
      <c r="G45" s="1">
        <f t="shared" si="4"/>
        <v>53</v>
      </c>
      <c r="H45" s="206">
        <f t="shared" si="2"/>
        <v>4.230000000000006</v>
      </c>
      <c r="I45" s="19">
        <f t="shared" si="3"/>
        <v>4.230000000000006</v>
      </c>
      <c r="L45" s="18">
        <f t="shared" si="5"/>
        <v>0</v>
      </c>
      <c r="M45"/>
    </row>
    <row r="46" spans="1:13" ht="12.75">
      <c r="A46" s="8">
        <v>73</v>
      </c>
      <c r="B46" s="202">
        <v>6.61</v>
      </c>
      <c r="C46" s="203">
        <v>9</v>
      </c>
      <c r="E46" s="206">
        <f t="shared" si="0"/>
        <v>1.2320000000000035</v>
      </c>
      <c r="F46" s="19">
        <f t="shared" si="1"/>
        <v>1.2320000000000035</v>
      </c>
      <c r="G46" s="1">
        <f t="shared" si="4"/>
        <v>14</v>
      </c>
      <c r="H46" s="206">
        <f t="shared" si="2"/>
        <v>0.09000000000000608</v>
      </c>
      <c r="I46" s="19">
        <f t="shared" si="3"/>
        <v>0.09000000000000608</v>
      </c>
      <c r="L46" s="18">
        <f t="shared" si="5"/>
        <v>0</v>
      </c>
      <c r="M46"/>
    </row>
    <row r="47" spans="1:13" ht="12.75">
      <c r="A47" s="8">
        <v>75</v>
      </c>
      <c r="B47" s="202">
        <v>7.17</v>
      </c>
      <c r="C47" s="203">
        <v>11</v>
      </c>
      <c r="E47" s="206">
        <f t="shared" si="0"/>
        <v>7.503999999999999</v>
      </c>
      <c r="F47" s="19">
        <f t="shared" si="1"/>
        <v>7.503999999999999</v>
      </c>
      <c r="G47" s="1">
        <f t="shared" si="4"/>
        <v>68</v>
      </c>
      <c r="H47" s="206">
        <f t="shared" si="2"/>
        <v>5.130000000000003</v>
      </c>
      <c r="I47" s="19">
        <f t="shared" si="3"/>
        <v>5.130000000000003</v>
      </c>
      <c r="L47" s="18">
        <f t="shared" si="5"/>
        <v>11</v>
      </c>
      <c r="M47"/>
    </row>
    <row r="48" spans="1:13" ht="12.75">
      <c r="A48" s="8">
        <v>76</v>
      </c>
      <c r="B48" s="202">
        <v>8.3</v>
      </c>
      <c r="C48" s="203">
        <v>14</v>
      </c>
      <c r="E48" s="206">
        <f aca="true" t="shared" si="6" ref="E48:E79">MAX(0,F$12*($B48-F$11))</f>
        <v>20.160000000000007</v>
      </c>
      <c r="F48" s="19">
        <f t="shared" si="1"/>
        <v>14</v>
      </c>
      <c r="G48" s="1">
        <f t="shared" si="4"/>
        <v>100</v>
      </c>
      <c r="H48" s="206">
        <f aca="true" t="shared" si="7" ref="H48:H79">MAX(0,I$12*($B48-I$11))</f>
        <v>15.30000000000001</v>
      </c>
      <c r="I48" s="19">
        <f t="shared" si="3"/>
        <v>14</v>
      </c>
      <c r="L48" s="18">
        <f t="shared" si="5"/>
        <v>14</v>
      </c>
      <c r="M48"/>
    </row>
    <row r="49" spans="1:13" ht="12.75">
      <c r="A49" s="8">
        <v>80</v>
      </c>
      <c r="B49" s="202">
        <v>8.41</v>
      </c>
      <c r="C49" s="203">
        <v>12</v>
      </c>
      <c r="E49" s="206">
        <f t="shared" si="6"/>
        <v>21.392</v>
      </c>
      <c r="F49" s="19">
        <f t="shared" si="1"/>
        <v>12</v>
      </c>
      <c r="G49" s="1">
        <f t="shared" si="4"/>
        <v>100</v>
      </c>
      <c r="H49" s="206">
        <f t="shared" si="7"/>
        <v>16.290000000000006</v>
      </c>
      <c r="I49" s="19">
        <f t="shared" si="3"/>
        <v>12</v>
      </c>
      <c r="L49" s="18">
        <f t="shared" si="5"/>
        <v>12</v>
      </c>
      <c r="M49"/>
    </row>
    <row r="50" spans="1:13" ht="12.75">
      <c r="A50" s="8">
        <v>83</v>
      </c>
      <c r="B50" s="202">
        <v>7.19</v>
      </c>
      <c r="C50" s="203">
        <v>15</v>
      </c>
      <c r="E50" s="206">
        <f t="shared" si="6"/>
        <v>7.728000000000004</v>
      </c>
      <c r="F50" s="19">
        <f t="shared" si="1"/>
        <v>7.728000000000004</v>
      </c>
      <c r="G50" s="1">
        <f t="shared" si="4"/>
        <v>52</v>
      </c>
      <c r="H50" s="206">
        <f t="shared" si="7"/>
        <v>5.310000000000007</v>
      </c>
      <c r="I50" s="19">
        <f t="shared" si="3"/>
        <v>5.310000000000007</v>
      </c>
      <c r="L50" s="18">
        <f t="shared" si="5"/>
        <v>15</v>
      </c>
      <c r="M50"/>
    </row>
    <row r="51" spans="1:13" ht="12.75">
      <c r="A51" s="8">
        <v>85</v>
      </c>
      <c r="B51" s="202">
        <v>6.25</v>
      </c>
      <c r="C51" s="203">
        <v>13</v>
      </c>
      <c r="E51" s="206">
        <f t="shared" si="6"/>
        <v>0</v>
      </c>
      <c r="F51" s="19">
        <f t="shared" si="1"/>
        <v>0</v>
      </c>
      <c r="G51" s="1">
        <f t="shared" si="4"/>
        <v>0</v>
      </c>
      <c r="H51" s="206">
        <f t="shared" si="7"/>
        <v>0</v>
      </c>
      <c r="I51" s="19">
        <f t="shared" si="3"/>
        <v>0</v>
      </c>
      <c r="L51" s="18">
        <f t="shared" si="5"/>
        <v>0</v>
      </c>
      <c r="M51"/>
    </row>
    <row r="52" spans="1:13" ht="12.75">
      <c r="A52" s="8">
        <v>86</v>
      </c>
      <c r="B52" s="202">
        <v>7.09</v>
      </c>
      <c r="C52" s="203">
        <v>11</v>
      </c>
      <c r="E52" s="206">
        <f t="shared" si="6"/>
        <v>6.607999999999998</v>
      </c>
      <c r="F52" s="19">
        <f t="shared" si="1"/>
        <v>6.607999999999998</v>
      </c>
      <c r="G52" s="1">
        <f t="shared" si="4"/>
        <v>60</v>
      </c>
      <c r="H52" s="206">
        <f t="shared" si="7"/>
        <v>4.410000000000002</v>
      </c>
      <c r="I52" s="19">
        <f t="shared" si="3"/>
        <v>4.410000000000002</v>
      </c>
      <c r="L52" s="18">
        <f t="shared" si="5"/>
        <v>11</v>
      </c>
      <c r="M52"/>
    </row>
    <row r="53" spans="1:13" ht="12.75">
      <c r="A53" s="8">
        <v>88</v>
      </c>
      <c r="B53" s="202">
        <v>6.86</v>
      </c>
      <c r="C53" s="203">
        <v>13</v>
      </c>
      <c r="E53" s="206">
        <f t="shared" si="6"/>
        <v>4.032000000000004</v>
      </c>
      <c r="F53" s="19">
        <f t="shared" si="1"/>
        <v>4.032000000000004</v>
      </c>
      <c r="G53" s="1">
        <f t="shared" si="4"/>
        <v>31</v>
      </c>
      <c r="H53" s="206">
        <f t="shared" si="7"/>
        <v>2.340000000000006</v>
      </c>
      <c r="I53" s="19">
        <f t="shared" si="3"/>
        <v>2.340000000000006</v>
      </c>
      <c r="L53" s="18">
        <f t="shared" si="5"/>
        <v>0</v>
      </c>
      <c r="M53"/>
    </row>
    <row r="54" spans="1:13" ht="12.75">
      <c r="A54" s="8">
        <v>92</v>
      </c>
      <c r="B54" s="202">
        <v>7.36</v>
      </c>
      <c r="C54" s="203">
        <v>14</v>
      </c>
      <c r="E54" s="206">
        <f t="shared" si="6"/>
        <v>9.632000000000003</v>
      </c>
      <c r="F54" s="19">
        <f t="shared" si="1"/>
        <v>9.632000000000003</v>
      </c>
      <c r="G54" s="1">
        <f t="shared" si="4"/>
        <v>69</v>
      </c>
      <c r="H54" s="206">
        <f t="shared" si="7"/>
        <v>6.840000000000006</v>
      </c>
      <c r="I54" s="19">
        <f t="shared" si="3"/>
        <v>6.840000000000006</v>
      </c>
      <c r="L54" s="18">
        <f t="shared" si="5"/>
        <v>14</v>
      </c>
      <c r="M54"/>
    </row>
    <row r="55" spans="1:13" ht="12.75">
      <c r="A55" s="8">
        <v>93</v>
      </c>
      <c r="B55" s="202">
        <v>6.91</v>
      </c>
      <c r="C55" s="203">
        <v>15</v>
      </c>
      <c r="E55" s="206">
        <f t="shared" si="6"/>
        <v>4.592000000000001</v>
      </c>
      <c r="F55" s="19">
        <f t="shared" si="1"/>
        <v>4.592000000000001</v>
      </c>
      <c r="G55" s="1">
        <f t="shared" si="4"/>
        <v>31</v>
      </c>
      <c r="H55" s="206">
        <f t="shared" si="7"/>
        <v>2.7900000000000045</v>
      </c>
      <c r="I55" s="19">
        <f t="shared" si="3"/>
        <v>2.7900000000000045</v>
      </c>
      <c r="L55" s="18">
        <f t="shared" si="5"/>
        <v>0</v>
      </c>
      <c r="M55"/>
    </row>
    <row r="56" spans="1:13" ht="12.75">
      <c r="A56" s="8">
        <v>94</v>
      </c>
      <c r="B56" s="202">
        <v>7.88</v>
      </c>
      <c r="C56" s="203">
        <v>12</v>
      </c>
      <c r="E56" s="206">
        <f t="shared" si="6"/>
        <v>15.455999999999998</v>
      </c>
      <c r="F56" s="19">
        <f t="shared" si="1"/>
        <v>12</v>
      </c>
      <c r="G56" s="1">
        <f t="shared" si="4"/>
        <v>100</v>
      </c>
      <c r="H56" s="206">
        <f t="shared" si="7"/>
        <v>11.520000000000003</v>
      </c>
      <c r="I56" s="19">
        <f t="shared" si="3"/>
        <v>11.520000000000003</v>
      </c>
      <c r="L56" s="18">
        <f t="shared" si="5"/>
        <v>12</v>
      </c>
      <c r="M56"/>
    </row>
    <row r="57" spans="1:13" ht="12.75">
      <c r="A57" s="8">
        <v>100</v>
      </c>
      <c r="B57" s="202">
        <v>6.81</v>
      </c>
      <c r="C57" s="203">
        <v>13</v>
      </c>
      <c r="E57" s="206">
        <f t="shared" si="6"/>
        <v>3.4719999999999955</v>
      </c>
      <c r="F57" s="19">
        <f t="shared" si="1"/>
        <v>3.4719999999999955</v>
      </c>
      <c r="G57" s="1">
        <f t="shared" si="4"/>
        <v>27</v>
      </c>
      <c r="H57" s="206">
        <f t="shared" si="7"/>
        <v>1.8899999999999997</v>
      </c>
      <c r="I57" s="19">
        <f t="shared" si="3"/>
        <v>1.8899999999999997</v>
      </c>
      <c r="L57" s="18">
        <f t="shared" si="5"/>
        <v>0</v>
      </c>
      <c r="M57"/>
    </row>
    <row r="58" spans="1:13" ht="12.75">
      <c r="A58" s="8">
        <v>101</v>
      </c>
      <c r="B58" s="202">
        <v>7.79</v>
      </c>
      <c r="C58" s="203">
        <v>11</v>
      </c>
      <c r="E58" s="206">
        <f t="shared" si="6"/>
        <v>14.447999999999999</v>
      </c>
      <c r="F58" s="19">
        <f t="shared" si="1"/>
        <v>11</v>
      </c>
      <c r="G58" s="1">
        <f t="shared" si="4"/>
        <v>100</v>
      </c>
      <c r="H58" s="206">
        <f t="shared" si="7"/>
        <v>10.710000000000004</v>
      </c>
      <c r="I58" s="19">
        <f t="shared" si="3"/>
        <v>10.710000000000004</v>
      </c>
      <c r="L58" s="18">
        <f t="shared" si="5"/>
        <v>11</v>
      </c>
      <c r="M58"/>
    </row>
    <row r="59" spans="1:13" ht="12.75">
      <c r="A59" s="8">
        <v>109</v>
      </c>
      <c r="B59" s="202">
        <v>7.62</v>
      </c>
      <c r="C59" s="203">
        <v>14</v>
      </c>
      <c r="E59" s="206">
        <f t="shared" si="6"/>
        <v>12.544</v>
      </c>
      <c r="F59" s="19">
        <f t="shared" si="1"/>
        <v>12.544</v>
      </c>
      <c r="G59" s="1">
        <f t="shared" si="4"/>
        <v>90</v>
      </c>
      <c r="H59" s="206">
        <f t="shared" si="7"/>
        <v>9.180000000000003</v>
      </c>
      <c r="I59" s="19">
        <f t="shared" si="3"/>
        <v>9.180000000000003</v>
      </c>
      <c r="L59" s="18">
        <f t="shared" si="5"/>
        <v>14</v>
      </c>
      <c r="M59"/>
    </row>
    <row r="60" spans="1:13" ht="12.75">
      <c r="A60" s="8">
        <v>110</v>
      </c>
      <c r="B60" s="202">
        <v>6.57</v>
      </c>
      <c r="C60" s="203">
        <v>13</v>
      </c>
      <c r="E60" s="206">
        <f t="shared" si="6"/>
        <v>0.7840000000000031</v>
      </c>
      <c r="F60" s="19">
        <f t="shared" si="1"/>
        <v>0.7840000000000031</v>
      </c>
      <c r="G60" s="1">
        <f t="shared" si="4"/>
        <v>6</v>
      </c>
      <c r="H60" s="206">
        <f t="shared" si="7"/>
        <v>0</v>
      </c>
      <c r="I60" s="19">
        <f t="shared" si="3"/>
        <v>0</v>
      </c>
      <c r="L60" s="18">
        <f t="shared" si="5"/>
        <v>0</v>
      </c>
      <c r="M60"/>
    </row>
    <row r="61" spans="1:13" ht="12.75">
      <c r="A61" s="8">
        <v>111</v>
      </c>
      <c r="B61" s="202">
        <v>6.26</v>
      </c>
      <c r="C61" s="203">
        <v>15</v>
      </c>
      <c r="E61" s="206">
        <f t="shared" si="6"/>
        <v>0</v>
      </c>
      <c r="F61" s="19">
        <f t="shared" si="1"/>
        <v>0</v>
      </c>
      <c r="G61" s="1">
        <f t="shared" si="4"/>
        <v>0</v>
      </c>
      <c r="H61" s="206">
        <f t="shared" si="7"/>
        <v>0</v>
      </c>
      <c r="I61" s="19">
        <f t="shared" si="3"/>
        <v>0</v>
      </c>
      <c r="L61" s="18">
        <f t="shared" si="5"/>
        <v>0</v>
      </c>
      <c r="M61"/>
    </row>
    <row r="62" spans="1:13" ht="12.75">
      <c r="A62" s="8">
        <v>113</v>
      </c>
      <c r="B62" s="202">
        <v>7.88</v>
      </c>
      <c r="C62" s="203">
        <v>15</v>
      </c>
      <c r="E62" s="206">
        <f t="shared" si="6"/>
        <v>15.455999999999998</v>
      </c>
      <c r="F62" s="19">
        <f t="shared" si="1"/>
        <v>15</v>
      </c>
      <c r="G62" s="1">
        <f t="shared" si="4"/>
        <v>100</v>
      </c>
      <c r="H62" s="206">
        <f t="shared" si="7"/>
        <v>11.520000000000003</v>
      </c>
      <c r="I62" s="19">
        <f t="shared" si="3"/>
        <v>11.520000000000003</v>
      </c>
      <c r="L62" s="18">
        <f t="shared" si="5"/>
        <v>15</v>
      </c>
      <c r="M62"/>
    </row>
    <row r="63" spans="1:13" ht="12.75">
      <c r="A63" s="8">
        <v>115</v>
      </c>
      <c r="B63" s="202">
        <v>7.41</v>
      </c>
      <c r="C63" s="203">
        <v>14</v>
      </c>
      <c r="E63" s="206">
        <f t="shared" si="6"/>
        <v>10.192</v>
      </c>
      <c r="F63" s="19">
        <f t="shared" si="1"/>
        <v>10.192</v>
      </c>
      <c r="G63" s="1">
        <f t="shared" si="4"/>
        <v>73</v>
      </c>
      <c r="H63" s="206">
        <f t="shared" si="7"/>
        <v>7.2900000000000045</v>
      </c>
      <c r="I63" s="19">
        <f t="shared" si="3"/>
        <v>7.2900000000000045</v>
      </c>
      <c r="L63" s="18">
        <f t="shared" si="5"/>
        <v>14</v>
      </c>
      <c r="M63"/>
    </row>
    <row r="64" spans="1:13" ht="12.75">
      <c r="A64" s="8">
        <v>116</v>
      </c>
      <c r="B64" s="202">
        <v>7.35</v>
      </c>
      <c r="C64" s="203">
        <v>12</v>
      </c>
      <c r="E64" s="206">
        <f t="shared" si="6"/>
        <v>9.519999999999996</v>
      </c>
      <c r="F64" s="19">
        <f t="shared" si="1"/>
        <v>9.519999999999996</v>
      </c>
      <c r="G64" s="1">
        <f t="shared" si="4"/>
        <v>79</v>
      </c>
      <c r="H64" s="206">
        <f t="shared" si="7"/>
        <v>6.75</v>
      </c>
      <c r="I64" s="19">
        <f t="shared" si="3"/>
        <v>6.75</v>
      </c>
      <c r="L64" s="18">
        <f t="shared" si="5"/>
        <v>12</v>
      </c>
      <c r="M64"/>
    </row>
    <row r="65" spans="1:13" ht="12.75">
      <c r="A65" s="8">
        <v>118</v>
      </c>
      <c r="B65" s="202">
        <v>7.75</v>
      </c>
      <c r="C65" s="203">
        <v>12</v>
      </c>
      <c r="E65" s="206">
        <f t="shared" si="6"/>
        <v>14</v>
      </c>
      <c r="F65" s="19">
        <f t="shared" si="1"/>
        <v>12</v>
      </c>
      <c r="G65" s="1">
        <f t="shared" si="4"/>
        <v>100</v>
      </c>
      <c r="H65" s="206">
        <f t="shared" si="7"/>
        <v>10.350000000000003</v>
      </c>
      <c r="I65" s="19">
        <f t="shared" si="3"/>
        <v>10.350000000000003</v>
      </c>
      <c r="L65" s="18">
        <f t="shared" si="5"/>
        <v>12</v>
      </c>
      <c r="M65"/>
    </row>
    <row r="66" spans="1:13" ht="12.75">
      <c r="A66" s="8">
        <v>121</v>
      </c>
      <c r="B66" s="202">
        <v>7.09</v>
      </c>
      <c r="C66" s="203">
        <v>14</v>
      </c>
      <c r="E66" s="206">
        <f t="shared" si="6"/>
        <v>6.607999999999998</v>
      </c>
      <c r="F66" s="19">
        <f t="shared" si="1"/>
        <v>6.607999999999998</v>
      </c>
      <c r="G66" s="1">
        <f t="shared" si="4"/>
        <v>47</v>
      </c>
      <c r="H66" s="206">
        <f t="shared" si="7"/>
        <v>4.410000000000002</v>
      </c>
      <c r="I66" s="19">
        <f t="shared" si="3"/>
        <v>4.410000000000002</v>
      </c>
      <c r="L66" s="18">
        <f t="shared" si="5"/>
        <v>14</v>
      </c>
      <c r="M66"/>
    </row>
    <row r="67" spans="1:13" ht="12.75">
      <c r="A67" s="8">
        <v>122</v>
      </c>
      <c r="B67" s="202">
        <v>6.51</v>
      </c>
      <c r="C67" s="203">
        <v>14</v>
      </c>
      <c r="E67" s="206">
        <f t="shared" si="6"/>
        <v>0.1119999999999976</v>
      </c>
      <c r="F67" s="19">
        <f t="shared" si="1"/>
        <v>0.1119999999999976</v>
      </c>
      <c r="G67" s="1">
        <f t="shared" si="4"/>
        <v>1</v>
      </c>
      <c r="H67" s="206">
        <f t="shared" si="7"/>
        <v>0</v>
      </c>
      <c r="I67" s="19">
        <f t="shared" si="3"/>
        <v>0</v>
      </c>
      <c r="L67" s="18">
        <f t="shared" si="5"/>
        <v>0</v>
      </c>
      <c r="M67"/>
    </row>
    <row r="68" spans="1:13" ht="12.75">
      <c r="A68" s="8">
        <v>123</v>
      </c>
      <c r="B68" s="202">
        <v>6.38</v>
      </c>
      <c r="C68" s="203">
        <v>9</v>
      </c>
      <c r="E68" s="206">
        <f t="shared" si="6"/>
        <v>0</v>
      </c>
      <c r="F68" s="19">
        <f t="shared" si="1"/>
        <v>0</v>
      </c>
      <c r="G68" s="1">
        <f t="shared" si="4"/>
        <v>0</v>
      </c>
      <c r="H68" s="206">
        <f t="shared" si="7"/>
        <v>0</v>
      </c>
      <c r="I68" s="19">
        <f t="shared" si="3"/>
        <v>0</v>
      </c>
      <c r="L68" s="18">
        <f t="shared" si="5"/>
        <v>0</v>
      </c>
      <c r="M68"/>
    </row>
    <row r="69" spans="1:13" ht="12.75">
      <c r="A69" s="8">
        <v>124</v>
      </c>
      <c r="B69" s="202">
        <v>7.49</v>
      </c>
      <c r="C69" s="203">
        <v>14</v>
      </c>
      <c r="E69" s="206">
        <f t="shared" si="6"/>
        <v>11.088000000000001</v>
      </c>
      <c r="F69" s="19">
        <f t="shared" si="1"/>
        <v>11.088000000000001</v>
      </c>
      <c r="G69" s="1">
        <f t="shared" si="4"/>
        <v>79</v>
      </c>
      <c r="H69" s="206">
        <f t="shared" si="7"/>
        <v>8.010000000000005</v>
      </c>
      <c r="I69" s="19">
        <f t="shared" si="3"/>
        <v>8.010000000000005</v>
      </c>
      <c r="L69" s="18">
        <f t="shared" si="5"/>
        <v>14</v>
      </c>
      <c r="M69"/>
    </row>
    <row r="70" spans="1:12" ht="12.75">
      <c r="A70" s="8">
        <v>131</v>
      </c>
      <c r="B70" s="202">
        <v>7.41</v>
      </c>
      <c r="C70" s="203">
        <v>14</v>
      </c>
      <c r="E70" s="206">
        <f t="shared" si="6"/>
        <v>10.192</v>
      </c>
      <c r="F70" s="19">
        <f t="shared" si="1"/>
        <v>10.192</v>
      </c>
      <c r="G70" s="1">
        <f t="shared" si="4"/>
        <v>73</v>
      </c>
      <c r="H70" s="206">
        <f t="shared" si="7"/>
        <v>7.2900000000000045</v>
      </c>
      <c r="I70" s="19">
        <f t="shared" si="3"/>
        <v>7.2900000000000045</v>
      </c>
      <c r="L70" s="18">
        <f t="shared" si="5"/>
        <v>14</v>
      </c>
    </row>
    <row r="71" spans="1:12" ht="12.75">
      <c r="A71" s="8">
        <v>136</v>
      </c>
      <c r="B71" s="202">
        <v>7.29</v>
      </c>
      <c r="C71" s="203">
        <v>15</v>
      </c>
      <c r="E71" s="206">
        <f t="shared" si="6"/>
        <v>8.847999999999999</v>
      </c>
      <c r="F71" s="19">
        <f t="shared" si="1"/>
        <v>8.847999999999999</v>
      </c>
      <c r="G71" s="1">
        <f t="shared" si="4"/>
        <v>59</v>
      </c>
      <c r="H71" s="206">
        <f t="shared" si="7"/>
        <v>6.2100000000000035</v>
      </c>
      <c r="I71" s="19">
        <f t="shared" si="3"/>
        <v>6.2100000000000035</v>
      </c>
      <c r="L71" s="18">
        <f t="shared" si="5"/>
        <v>15</v>
      </c>
    </row>
    <row r="72" spans="1:12" ht="12.75">
      <c r="A72" s="8">
        <v>143</v>
      </c>
      <c r="B72" s="202">
        <v>6.8</v>
      </c>
      <c r="C72" s="203">
        <v>14</v>
      </c>
      <c r="E72" s="206">
        <f t="shared" si="6"/>
        <v>3.3599999999999977</v>
      </c>
      <c r="F72" s="19">
        <f t="shared" si="1"/>
        <v>3.3599999999999977</v>
      </c>
      <c r="G72" s="1">
        <f t="shared" si="4"/>
        <v>24</v>
      </c>
      <c r="H72" s="206">
        <f t="shared" si="7"/>
        <v>1.8000000000000016</v>
      </c>
      <c r="I72" s="19">
        <f t="shared" si="3"/>
        <v>1.8000000000000016</v>
      </c>
      <c r="L72" s="18">
        <f t="shared" si="5"/>
        <v>0</v>
      </c>
    </row>
    <row r="73" spans="1:12" ht="12.75">
      <c r="A73" s="8">
        <v>146</v>
      </c>
      <c r="B73" s="202">
        <v>6.7</v>
      </c>
      <c r="C73" s="203">
        <v>11</v>
      </c>
      <c r="E73" s="206">
        <f t="shared" si="6"/>
        <v>2.240000000000002</v>
      </c>
      <c r="F73" s="19">
        <f t="shared" si="1"/>
        <v>2.240000000000002</v>
      </c>
      <c r="G73" s="1">
        <f t="shared" si="4"/>
        <v>20</v>
      </c>
      <c r="H73" s="206">
        <f t="shared" si="7"/>
        <v>0.9000000000000048</v>
      </c>
      <c r="I73" s="19">
        <f t="shared" si="3"/>
        <v>0.9000000000000048</v>
      </c>
      <c r="L73" s="18">
        <f t="shared" si="5"/>
        <v>0</v>
      </c>
    </row>
    <row r="74" spans="1:12" ht="12.75">
      <c r="A74" s="8">
        <v>154</v>
      </c>
      <c r="B74" s="202">
        <v>7.54</v>
      </c>
      <c r="C74" s="203">
        <v>13</v>
      </c>
      <c r="E74" s="206">
        <f t="shared" si="6"/>
        <v>11.648</v>
      </c>
      <c r="F74" s="19">
        <f t="shared" si="1"/>
        <v>11.648</v>
      </c>
      <c r="G74" s="1">
        <f t="shared" si="4"/>
        <v>90</v>
      </c>
      <c r="H74" s="206">
        <f t="shared" si="7"/>
        <v>8.460000000000004</v>
      </c>
      <c r="I74" s="19">
        <f t="shared" si="3"/>
        <v>8.460000000000004</v>
      </c>
      <c r="L74" s="18">
        <f t="shared" si="5"/>
        <v>13</v>
      </c>
    </row>
    <row r="75" spans="1:12" ht="12.75">
      <c r="A75" s="8">
        <v>157</v>
      </c>
      <c r="B75" s="202">
        <v>6.72</v>
      </c>
      <c r="C75" s="203">
        <v>12</v>
      </c>
      <c r="E75" s="206">
        <f t="shared" si="6"/>
        <v>2.463999999999997</v>
      </c>
      <c r="F75" s="19">
        <f t="shared" si="1"/>
        <v>2.463999999999997</v>
      </c>
      <c r="G75" s="1">
        <f t="shared" si="4"/>
        <v>21</v>
      </c>
      <c r="H75" s="206">
        <f t="shared" si="7"/>
        <v>1.080000000000001</v>
      </c>
      <c r="I75" s="19">
        <f t="shared" si="3"/>
        <v>1.080000000000001</v>
      </c>
      <c r="L75" s="18">
        <f t="shared" si="5"/>
        <v>0</v>
      </c>
    </row>
    <row r="76" spans="1:12" ht="12.75">
      <c r="A76" s="8">
        <v>161</v>
      </c>
      <c r="B76" s="202">
        <v>5.94</v>
      </c>
      <c r="C76" s="203">
        <v>14</v>
      </c>
      <c r="E76" s="206">
        <f t="shared" si="6"/>
        <v>0</v>
      </c>
      <c r="F76" s="19">
        <f t="shared" si="1"/>
        <v>0</v>
      </c>
      <c r="G76" s="1">
        <f t="shared" si="4"/>
        <v>0</v>
      </c>
      <c r="H76" s="206">
        <f t="shared" si="7"/>
        <v>0</v>
      </c>
      <c r="I76" s="19">
        <f t="shared" si="3"/>
        <v>0</v>
      </c>
      <c r="L76" s="18">
        <f t="shared" si="5"/>
        <v>0</v>
      </c>
    </row>
    <row r="77" spans="1:12" ht="12.75">
      <c r="A77" s="8">
        <v>169</v>
      </c>
      <c r="B77" s="202">
        <v>6.08</v>
      </c>
      <c r="C77" s="203">
        <v>14</v>
      </c>
      <c r="E77" s="206">
        <f t="shared" si="6"/>
        <v>0</v>
      </c>
      <c r="F77" s="19">
        <f t="shared" si="1"/>
        <v>0</v>
      </c>
      <c r="G77" s="1">
        <f t="shared" si="4"/>
        <v>0</v>
      </c>
      <c r="H77" s="206">
        <f t="shared" si="7"/>
        <v>0</v>
      </c>
      <c r="I77" s="19">
        <f t="shared" si="3"/>
        <v>0</v>
      </c>
      <c r="L77" s="18">
        <f t="shared" si="5"/>
        <v>0</v>
      </c>
    </row>
    <row r="78" spans="1:12" ht="12.75">
      <c r="A78" s="8">
        <v>172</v>
      </c>
      <c r="B78" s="202">
        <v>7.2</v>
      </c>
      <c r="C78" s="203">
        <v>13</v>
      </c>
      <c r="E78" s="206">
        <f t="shared" si="6"/>
        <v>7.840000000000002</v>
      </c>
      <c r="F78" s="19">
        <f t="shared" si="1"/>
        <v>7.840000000000002</v>
      </c>
      <c r="G78" s="1">
        <f t="shared" si="4"/>
        <v>60</v>
      </c>
      <c r="H78" s="206">
        <f t="shared" si="7"/>
        <v>5.400000000000005</v>
      </c>
      <c r="I78" s="19">
        <f t="shared" si="3"/>
        <v>5.400000000000005</v>
      </c>
      <c r="L78" s="18">
        <f t="shared" si="5"/>
        <v>13</v>
      </c>
    </row>
    <row r="79" spans="1:12" ht="12.75">
      <c r="A79" s="8">
        <v>186</v>
      </c>
      <c r="B79" s="202">
        <v>7.31</v>
      </c>
      <c r="C79" s="203">
        <v>12</v>
      </c>
      <c r="E79" s="206">
        <f t="shared" si="6"/>
        <v>9.071999999999996</v>
      </c>
      <c r="F79" s="19">
        <f t="shared" si="1"/>
        <v>9.071999999999996</v>
      </c>
      <c r="G79" s="1">
        <f t="shared" si="4"/>
        <v>76</v>
      </c>
      <c r="H79" s="206">
        <f t="shared" si="7"/>
        <v>6.39</v>
      </c>
      <c r="I79" s="19">
        <f t="shared" si="3"/>
        <v>6.39</v>
      </c>
      <c r="L79" s="18">
        <f t="shared" si="5"/>
        <v>12</v>
      </c>
    </row>
    <row r="80" spans="1:12" ht="12.75">
      <c r="A80" s="8">
        <v>187</v>
      </c>
      <c r="B80" s="202">
        <v>6.66</v>
      </c>
      <c r="C80" s="203">
        <v>14</v>
      </c>
      <c r="E80" s="206">
        <f aca="true" t="shared" si="8" ref="E80:E102">MAX(0,F$12*($B80-F$11))</f>
        <v>1.7920000000000014</v>
      </c>
      <c r="F80" s="19">
        <f t="shared" si="1"/>
        <v>1.7920000000000014</v>
      </c>
      <c r="G80" s="1">
        <f t="shared" si="4"/>
        <v>13</v>
      </c>
      <c r="H80" s="206">
        <f aca="true" t="shared" si="9" ref="H80:H102">MAX(0,I$12*($B80-I$11))</f>
        <v>0.5400000000000045</v>
      </c>
      <c r="I80" s="19">
        <f t="shared" si="3"/>
        <v>0.5400000000000045</v>
      </c>
      <c r="L80" s="18">
        <f t="shared" si="5"/>
        <v>0</v>
      </c>
    </row>
    <row r="81" spans="1:12" ht="12.75">
      <c r="A81" s="8">
        <v>188</v>
      </c>
      <c r="B81" s="202">
        <v>7.06</v>
      </c>
      <c r="C81" s="203">
        <v>15</v>
      </c>
      <c r="E81" s="206">
        <f t="shared" si="8"/>
        <v>6.271999999999995</v>
      </c>
      <c r="F81" s="19">
        <f t="shared" si="1"/>
        <v>6.271999999999995</v>
      </c>
      <c r="G81" s="1">
        <f aca="true" t="shared" si="10" ref="G81:G102">INT(F81*100/C81+0.5)</f>
        <v>42</v>
      </c>
      <c r="H81" s="206">
        <f t="shared" si="9"/>
        <v>4.14</v>
      </c>
      <c r="I81" s="19">
        <f t="shared" si="3"/>
        <v>4.14</v>
      </c>
      <c r="L81" s="18">
        <f aca="true" t="shared" si="11" ref="L81:L102">IF(B81&lt;=L$11,0,C81)</f>
        <v>0</v>
      </c>
    </row>
    <row r="82" spans="1:12" ht="12.75">
      <c r="A82" s="8">
        <v>191</v>
      </c>
      <c r="B82" s="202">
        <v>7.41</v>
      </c>
      <c r="C82" s="203">
        <v>11</v>
      </c>
      <c r="E82" s="206">
        <f t="shared" si="8"/>
        <v>10.192</v>
      </c>
      <c r="F82" s="19">
        <f t="shared" si="1"/>
        <v>10.192</v>
      </c>
      <c r="G82" s="1">
        <f t="shared" si="10"/>
        <v>93</v>
      </c>
      <c r="H82" s="206">
        <f t="shared" si="9"/>
        <v>7.2900000000000045</v>
      </c>
      <c r="I82" s="19">
        <f t="shared" si="3"/>
        <v>7.2900000000000045</v>
      </c>
      <c r="L82" s="18">
        <f t="shared" si="11"/>
        <v>11</v>
      </c>
    </row>
    <row r="83" spans="1:12" ht="12.75">
      <c r="A83" s="8">
        <v>195</v>
      </c>
      <c r="B83" s="202">
        <v>6.64</v>
      </c>
      <c r="C83" s="203">
        <v>11</v>
      </c>
      <c r="E83" s="206">
        <f t="shared" si="8"/>
        <v>1.5679999999999963</v>
      </c>
      <c r="F83" s="19">
        <f t="shared" si="1"/>
        <v>1.5679999999999963</v>
      </c>
      <c r="G83" s="1">
        <f t="shared" si="10"/>
        <v>14</v>
      </c>
      <c r="H83" s="206">
        <f t="shared" si="9"/>
        <v>0.3600000000000003</v>
      </c>
      <c r="I83" s="19">
        <f t="shared" si="3"/>
        <v>0.3600000000000003</v>
      </c>
      <c r="L83" s="18">
        <f t="shared" si="11"/>
        <v>0</v>
      </c>
    </row>
    <row r="84" spans="1:12" ht="12.75">
      <c r="A84" s="8">
        <v>196</v>
      </c>
      <c r="B84" s="202">
        <v>7.75</v>
      </c>
      <c r="C84" s="203">
        <v>15</v>
      </c>
      <c r="E84" s="206">
        <f t="shared" si="8"/>
        <v>14</v>
      </c>
      <c r="F84" s="19">
        <f t="shared" si="1"/>
        <v>14</v>
      </c>
      <c r="G84" s="1">
        <f t="shared" si="10"/>
        <v>93</v>
      </c>
      <c r="H84" s="206">
        <f t="shared" si="9"/>
        <v>10.350000000000003</v>
      </c>
      <c r="I84" s="19">
        <f t="shared" si="3"/>
        <v>10.350000000000003</v>
      </c>
      <c r="L84" s="18">
        <f t="shared" si="11"/>
        <v>15</v>
      </c>
    </row>
    <row r="85" spans="1:12" ht="12.75">
      <c r="A85" s="8">
        <v>198</v>
      </c>
      <c r="B85" s="202">
        <v>7.01</v>
      </c>
      <c r="C85" s="203">
        <v>14</v>
      </c>
      <c r="E85" s="206">
        <f t="shared" si="8"/>
        <v>5.711999999999997</v>
      </c>
      <c r="F85" s="19">
        <f t="shared" si="1"/>
        <v>5.711999999999997</v>
      </c>
      <c r="G85" s="1">
        <f t="shared" si="10"/>
        <v>41</v>
      </c>
      <c r="H85" s="206">
        <f t="shared" si="9"/>
        <v>3.6900000000000013</v>
      </c>
      <c r="I85" s="19">
        <f t="shared" si="3"/>
        <v>3.6900000000000013</v>
      </c>
      <c r="L85" s="18">
        <f t="shared" si="11"/>
        <v>0</v>
      </c>
    </row>
    <row r="86" spans="1:12" ht="12.75">
      <c r="A86" s="8">
        <v>202</v>
      </c>
      <c r="B86" s="202">
        <v>6.86</v>
      </c>
      <c r="C86" s="203">
        <v>14</v>
      </c>
      <c r="E86" s="206">
        <f t="shared" si="8"/>
        <v>4.032000000000004</v>
      </c>
      <c r="F86" s="19">
        <f t="shared" si="1"/>
        <v>4.032000000000004</v>
      </c>
      <c r="G86" s="1">
        <f t="shared" si="10"/>
        <v>29</v>
      </c>
      <c r="H86" s="206">
        <f t="shared" si="9"/>
        <v>2.340000000000006</v>
      </c>
      <c r="I86" s="19">
        <f t="shared" si="3"/>
        <v>2.340000000000006</v>
      </c>
      <c r="L86" s="18">
        <f t="shared" si="11"/>
        <v>0</v>
      </c>
    </row>
    <row r="87" spans="1:12" ht="12.75">
      <c r="A87" s="8">
        <v>203</v>
      </c>
      <c r="B87" s="202">
        <v>7.89</v>
      </c>
      <c r="C87" s="203">
        <v>15</v>
      </c>
      <c r="E87" s="206">
        <f t="shared" si="8"/>
        <v>15.567999999999996</v>
      </c>
      <c r="F87" s="19">
        <f t="shared" si="1"/>
        <v>15</v>
      </c>
      <c r="G87" s="1">
        <f t="shared" si="10"/>
        <v>100</v>
      </c>
      <c r="H87" s="206">
        <f t="shared" si="9"/>
        <v>11.61</v>
      </c>
      <c r="I87" s="19">
        <f t="shared" si="3"/>
        <v>11.61</v>
      </c>
      <c r="L87" s="18">
        <f t="shared" si="11"/>
        <v>15</v>
      </c>
    </row>
    <row r="88" spans="1:12" ht="12.75">
      <c r="A88" s="8">
        <v>204</v>
      </c>
      <c r="B88" s="202">
        <v>4.79</v>
      </c>
      <c r="C88" s="203">
        <v>9</v>
      </c>
      <c r="E88" s="206">
        <f t="shared" si="8"/>
        <v>0</v>
      </c>
      <c r="F88" s="19">
        <f t="shared" si="1"/>
        <v>0</v>
      </c>
      <c r="G88" s="1">
        <f t="shared" si="10"/>
        <v>0</v>
      </c>
      <c r="H88" s="206">
        <f t="shared" si="9"/>
        <v>0</v>
      </c>
      <c r="I88" s="19">
        <f t="shared" si="3"/>
        <v>0</v>
      </c>
      <c r="L88" s="18">
        <f t="shared" si="11"/>
        <v>0</v>
      </c>
    </row>
    <row r="89" spans="1:12" ht="12.75">
      <c r="A89" s="8">
        <v>206</v>
      </c>
      <c r="B89" s="202">
        <v>5.18</v>
      </c>
      <c r="C89" s="203">
        <v>13</v>
      </c>
      <c r="E89" s="206">
        <f t="shared" si="8"/>
        <v>0</v>
      </c>
      <c r="F89" s="19">
        <f t="shared" si="1"/>
        <v>0</v>
      </c>
      <c r="G89" s="1">
        <f t="shared" si="10"/>
        <v>0</v>
      </c>
      <c r="H89" s="206">
        <f t="shared" si="9"/>
        <v>0</v>
      </c>
      <c r="I89" s="19">
        <f t="shared" si="3"/>
        <v>0</v>
      </c>
      <c r="L89" s="18">
        <f t="shared" si="11"/>
        <v>0</v>
      </c>
    </row>
    <row r="90" spans="1:12" ht="12.75">
      <c r="A90" s="8">
        <v>219</v>
      </c>
      <c r="B90" s="202">
        <v>6.81</v>
      </c>
      <c r="C90" s="203">
        <v>15</v>
      </c>
      <c r="E90" s="206">
        <f t="shared" si="8"/>
        <v>3.4719999999999955</v>
      </c>
      <c r="F90" s="19">
        <f t="shared" si="1"/>
        <v>3.4719999999999955</v>
      </c>
      <c r="G90" s="1">
        <f t="shared" si="10"/>
        <v>23</v>
      </c>
      <c r="H90" s="206">
        <f t="shared" si="9"/>
        <v>1.8899999999999997</v>
      </c>
      <c r="I90" s="19">
        <f t="shared" si="3"/>
        <v>1.8899999999999997</v>
      </c>
      <c r="L90" s="18">
        <f t="shared" si="11"/>
        <v>0</v>
      </c>
    </row>
    <row r="91" spans="1:12" ht="12.75">
      <c r="A91" s="8">
        <v>220</v>
      </c>
      <c r="B91" s="202">
        <v>6.65</v>
      </c>
      <c r="C91" s="203">
        <v>13</v>
      </c>
      <c r="E91" s="206">
        <f t="shared" si="8"/>
        <v>1.680000000000004</v>
      </c>
      <c r="F91" s="19">
        <f t="shared" si="1"/>
        <v>1.680000000000004</v>
      </c>
      <c r="G91" s="1">
        <f t="shared" si="10"/>
        <v>13</v>
      </c>
      <c r="H91" s="206">
        <f t="shared" si="9"/>
        <v>0.4500000000000064</v>
      </c>
      <c r="I91" s="19">
        <f t="shared" si="3"/>
        <v>0.4500000000000064</v>
      </c>
      <c r="L91" s="18">
        <f t="shared" si="11"/>
        <v>0</v>
      </c>
    </row>
    <row r="92" spans="1:12" ht="12.75">
      <c r="A92" s="8">
        <v>271</v>
      </c>
      <c r="B92" s="202">
        <v>8.08</v>
      </c>
      <c r="C92" s="203">
        <v>15</v>
      </c>
      <c r="E92" s="206">
        <f t="shared" si="8"/>
        <v>17.695999999999998</v>
      </c>
      <c r="F92" s="19">
        <f t="shared" si="1"/>
        <v>15</v>
      </c>
      <c r="G92" s="1">
        <f t="shared" si="10"/>
        <v>100</v>
      </c>
      <c r="H92" s="206">
        <f t="shared" si="9"/>
        <v>13.320000000000004</v>
      </c>
      <c r="I92" s="19">
        <f t="shared" si="3"/>
        <v>13.320000000000004</v>
      </c>
      <c r="L92" s="18">
        <f t="shared" si="11"/>
        <v>15</v>
      </c>
    </row>
    <row r="93" spans="1:12" ht="12.75">
      <c r="A93" s="8">
        <v>272</v>
      </c>
      <c r="B93" s="202">
        <v>6.2</v>
      </c>
      <c r="C93" s="203">
        <v>12</v>
      </c>
      <c r="E93" s="206">
        <f t="shared" si="8"/>
        <v>0</v>
      </c>
      <c r="F93" s="19">
        <f t="shared" si="1"/>
        <v>0</v>
      </c>
      <c r="G93" s="1">
        <f t="shared" si="10"/>
        <v>0</v>
      </c>
      <c r="H93" s="206">
        <f t="shared" si="9"/>
        <v>0</v>
      </c>
      <c r="I93" s="19">
        <f t="shared" si="3"/>
        <v>0</v>
      </c>
      <c r="L93" s="18">
        <f t="shared" si="11"/>
        <v>0</v>
      </c>
    </row>
    <row r="94" spans="1:12" ht="12.75">
      <c r="A94" s="8">
        <v>273</v>
      </c>
      <c r="B94" s="202">
        <v>6.33</v>
      </c>
      <c r="C94" s="203">
        <v>13</v>
      </c>
      <c r="E94" s="206">
        <f t="shared" si="8"/>
        <v>0</v>
      </c>
      <c r="F94" s="19">
        <f t="shared" si="1"/>
        <v>0</v>
      </c>
      <c r="G94" s="1">
        <f t="shared" si="10"/>
        <v>0</v>
      </c>
      <c r="H94" s="206">
        <f t="shared" si="9"/>
        <v>0</v>
      </c>
      <c r="I94" s="19">
        <f t="shared" si="3"/>
        <v>0</v>
      </c>
      <c r="L94" s="18">
        <f t="shared" si="11"/>
        <v>0</v>
      </c>
    </row>
    <row r="95" spans="1:12" ht="12.75">
      <c r="A95" s="8">
        <v>274</v>
      </c>
      <c r="B95" s="202">
        <v>7.97</v>
      </c>
      <c r="C95" s="203">
        <v>15</v>
      </c>
      <c r="E95" s="206">
        <f t="shared" si="8"/>
        <v>16.463999999999995</v>
      </c>
      <c r="F95" s="19">
        <f t="shared" si="1"/>
        <v>15</v>
      </c>
      <c r="G95" s="1">
        <f t="shared" si="10"/>
        <v>100</v>
      </c>
      <c r="H95" s="206">
        <f t="shared" si="9"/>
        <v>12.330000000000002</v>
      </c>
      <c r="I95" s="19">
        <f t="shared" si="3"/>
        <v>12.330000000000002</v>
      </c>
      <c r="L95" s="18">
        <f t="shared" si="11"/>
        <v>15</v>
      </c>
    </row>
    <row r="96" spans="1:12" ht="12.75">
      <c r="A96" s="8">
        <v>275</v>
      </c>
      <c r="B96" s="202">
        <v>7.03</v>
      </c>
      <c r="C96" s="203">
        <v>11</v>
      </c>
      <c r="E96" s="206">
        <f t="shared" si="8"/>
        <v>5.936000000000003</v>
      </c>
      <c r="F96" s="19">
        <f t="shared" si="1"/>
        <v>5.936000000000003</v>
      </c>
      <c r="G96" s="1">
        <f t="shared" si="10"/>
        <v>54</v>
      </c>
      <c r="H96" s="206">
        <f t="shared" si="9"/>
        <v>3.8700000000000054</v>
      </c>
      <c r="I96" s="19">
        <f t="shared" si="3"/>
        <v>3.8700000000000054</v>
      </c>
      <c r="L96" s="18">
        <f t="shared" si="11"/>
        <v>0</v>
      </c>
    </row>
    <row r="97" spans="1:12" ht="12.75">
      <c r="A97" s="8">
        <v>276</v>
      </c>
      <c r="B97" s="202">
        <v>7.64</v>
      </c>
      <c r="C97" s="203">
        <v>14</v>
      </c>
      <c r="E97" s="206">
        <f t="shared" si="8"/>
        <v>12.767999999999995</v>
      </c>
      <c r="F97" s="19">
        <f t="shared" si="1"/>
        <v>12.767999999999995</v>
      </c>
      <c r="G97" s="1">
        <f t="shared" si="10"/>
        <v>91</v>
      </c>
      <c r="H97" s="206">
        <f t="shared" si="9"/>
        <v>9.36</v>
      </c>
      <c r="I97" s="19">
        <f t="shared" si="3"/>
        <v>9.36</v>
      </c>
      <c r="L97" s="18">
        <f t="shared" si="11"/>
        <v>14</v>
      </c>
    </row>
    <row r="98" spans="1:12" ht="12.75">
      <c r="A98" s="8">
        <v>277</v>
      </c>
      <c r="B98" s="202">
        <v>7.29</v>
      </c>
      <c r="C98" s="203">
        <v>13</v>
      </c>
      <c r="E98" s="206">
        <f t="shared" si="8"/>
        <v>8.847999999999999</v>
      </c>
      <c r="F98" s="19">
        <f t="shared" si="1"/>
        <v>8.847999999999999</v>
      </c>
      <c r="G98" s="1">
        <f t="shared" si="10"/>
        <v>68</v>
      </c>
      <c r="H98" s="206">
        <f t="shared" si="9"/>
        <v>6.2100000000000035</v>
      </c>
      <c r="I98" s="19">
        <f t="shared" si="3"/>
        <v>6.2100000000000035</v>
      </c>
      <c r="L98" s="18">
        <f t="shared" si="11"/>
        <v>13</v>
      </c>
    </row>
    <row r="99" spans="1:12" ht="12.75">
      <c r="A99" s="8">
        <v>278</v>
      </c>
      <c r="B99" s="202">
        <v>6.9</v>
      </c>
      <c r="C99" s="203">
        <v>15</v>
      </c>
      <c r="E99" s="206">
        <f t="shared" si="8"/>
        <v>4.480000000000004</v>
      </c>
      <c r="F99" s="19">
        <f t="shared" si="1"/>
        <v>4.480000000000004</v>
      </c>
      <c r="G99" s="1">
        <f t="shared" si="10"/>
        <v>30</v>
      </c>
      <c r="H99" s="206">
        <f t="shared" si="9"/>
        <v>2.7000000000000064</v>
      </c>
      <c r="I99" s="19">
        <f t="shared" si="3"/>
        <v>2.7000000000000064</v>
      </c>
      <c r="L99" s="18">
        <f t="shared" si="11"/>
        <v>0</v>
      </c>
    </row>
    <row r="100" spans="1:12" ht="12.75">
      <c r="A100" s="8">
        <v>279</v>
      </c>
      <c r="B100" s="202">
        <v>5.8</v>
      </c>
      <c r="C100" s="203">
        <v>15</v>
      </c>
      <c r="D100" s="2"/>
      <c r="E100" s="206">
        <f t="shared" si="8"/>
        <v>0</v>
      </c>
      <c r="F100" s="19">
        <f t="shared" si="1"/>
        <v>0</v>
      </c>
      <c r="G100" s="1">
        <f t="shared" si="10"/>
        <v>0</v>
      </c>
      <c r="H100" s="206">
        <f t="shared" si="9"/>
        <v>0</v>
      </c>
      <c r="I100" s="19">
        <f t="shared" si="3"/>
        <v>0</v>
      </c>
      <c r="L100" s="18">
        <f t="shared" si="11"/>
        <v>0</v>
      </c>
    </row>
    <row r="101" spans="1:12" ht="12.75">
      <c r="A101" s="8">
        <v>280</v>
      </c>
      <c r="B101" s="202">
        <v>7.22</v>
      </c>
      <c r="C101" s="203">
        <v>11</v>
      </c>
      <c r="D101" s="2"/>
      <c r="E101" s="206">
        <f t="shared" si="8"/>
        <v>8.063999999999997</v>
      </c>
      <c r="F101" s="19">
        <f t="shared" si="1"/>
        <v>8.063999999999997</v>
      </c>
      <c r="G101" s="1">
        <f t="shared" si="10"/>
        <v>73</v>
      </c>
      <c r="H101" s="206">
        <f t="shared" si="9"/>
        <v>5.580000000000001</v>
      </c>
      <c r="I101" s="19">
        <f t="shared" si="3"/>
        <v>5.580000000000001</v>
      </c>
      <c r="L101" s="18">
        <f t="shared" si="11"/>
        <v>11</v>
      </c>
    </row>
    <row r="102" spans="1:12" ht="12.75">
      <c r="A102" s="8">
        <v>281</v>
      </c>
      <c r="B102" s="202">
        <v>7.46</v>
      </c>
      <c r="C102" s="203">
        <v>15</v>
      </c>
      <c r="E102" s="206">
        <f t="shared" si="8"/>
        <v>10.751999999999999</v>
      </c>
      <c r="F102" s="19">
        <f t="shared" si="1"/>
        <v>10.751999999999999</v>
      </c>
      <c r="G102" s="1">
        <f t="shared" si="10"/>
        <v>72</v>
      </c>
      <c r="H102" s="206">
        <f t="shared" si="9"/>
        <v>7.740000000000003</v>
      </c>
      <c r="I102" s="19">
        <f t="shared" si="3"/>
        <v>7.740000000000003</v>
      </c>
      <c r="L102" s="18">
        <f t="shared" si="11"/>
        <v>15</v>
      </c>
    </row>
    <row r="103" spans="1:13" ht="12.75">
      <c r="A103"/>
      <c r="B103" s="127"/>
      <c r="C103"/>
      <c r="D103"/>
      <c r="E103"/>
      <c r="F103"/>
      <c r="G103"/>
      <c r="H103"/>
      <c r="I103"/>
      <c r="J103"/>
      <c r="L103"/>
      <c r="M103"/>
    </row>
    <row r="104" spans="1:12" ht="12.75">
      <c r="A104"/>
      <c r="B104" s="51" t="s">
        <v>97</v>
      </c>
      <c r="C104" s="16">
        <f>AVERAGE(B16:B102)</f>
        <v>7.044827586206898</v>
      </c>
      <c r="D104"/>
      <c r="E104"/>
      <c r="F104"/>
      <c r="G104"/>
      <c r="H104"/>
      <c r="I104"/>
      <c r="J104"/>
      <c r="L104"/>
    </row>
    <row r="105" spans="1:12" ht="12.75">
      <c r="A105"/>
      <c r="B105" s="51" t="s">
        <v>99</v>
      </c>
      <c r="C105" s="16">
        <f>STDEV(B16:B102)</f>
        <v>0.6799433322300515</v>
      </c>
      <c r="D105"/>
      <c r="E105"/>
      <c r="F105"/>
      <c r="G105"/>
      <c r="H105"/>
      <c r="I105"/>
      <c r="J105"/>
      <c r="L105"/>
    </row>
    <row r="106" spans="1:12" ht="12.75">
      <c r="A106"/>
      <c r="B106"/>
      <c r="C106"/>
      <c r="D106"/>
      <c r="E106"/>
      <c r="F106"/>
      <c r="G106"/>
      <c r="H106"/>
      <c r="I106"/>
      <c r="J106"/>
      <c r="L106"/>
    </row>
    <row r="107" spans="1:12" ht="12.75">
      <c r="A107"/>
      <c r="B107"/>
      <c r="C107"/>
      <c r="D107"/>
      <c r="E107"/>
      <c r="F107"/>
      <c r="G107"/>
      <c r="H107"/>
      <c r="I107"/>
      <c r="J107"/>
      <c r="L107"/>
    </row>
    <row r="108" spans="1:12" ht="12.75">
      <c r="A108"/>
      <c r="B108"/>
      <c r="C108"/>
      <c r="D108"/>
      <c r="E108"/>
      <c r="F108"/>
      <c r="G108"/>
      <c r="H108"/>
      <c r="I108"/>
      <c r="J108"/>
      <c r="L108"/>
    </row>
    <row r="116" ht="12.75">
      <c r="E116" s="2"/>
    </row>
    <row r="118" ht="12.75">
      <c r="A118" s="6"/>
    </row>
  </sheetData>
  <mergeCells count="1">
    <mergeCell ref="A13:C13"/>
  </mergeCells>
  <printOptions gridLines="1"/>
  <pageMargins left="0.75" right="0.75" top="1" bottom="1" header="0.5" footer="0.5"/>
  <pageSetup horizontalDpi="600" verticalDpi="600" orientation="portrait" paperSize="9" r:id="rId4"/>
  <headerFooter alignWithMargins="0">
    <oddHeader>&amp;C&amp;F</oddHeader>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6"/>
  <dimension ref="A1:H53"/>
  <sheetViews>
    <sheetView workbookViewId="0" topLeftCell="A1">
      <selection activeCell="A1" sqref="A1"/>
    </sheetView>
  </sheetViews>
  <sheetFormatPr defaultColWidth="9.140625" defaultRowHeight="12.75"/>
  <cols>
    <col min="1" max="3" width="6.7109375" style="4" customWidth="1"/>
    <col min="4" max="4" width="7.7109375" style="4" customWidth="1"/>
    <col min="5" max="5" width="8.00390625" style="4" customWidth="1"/>
    <col min="6" max="6" width="6.28125" style="4" customWidth="1"/>
    <col min="7" max="7" width="6.7109375" style="4" customWidth="1"/>
    <col min="8" max="16384" width="9.140625" style="4" customWidth="1"/>
  </cols>
  <sheetData>
    <row r="1" spans="1:8" ht="15">
      <c r="A1" s="21"/>
      <c r="B1" s="131" t="s">
        <v>327</v>
      </c>
      <c r="G1" s="21"/>
      <c r="H1" s="186" t="s">
        <v>320</v>
      </c>
    </row>
    <row r="2" spans="4:6" ht="12.75">
      <c r="D2" s="21"/>
      <c r="F2" s="21"/>
    </row>
    <row r="3" ht="12.75">
      <c r="C3" s="21" t="s">
        <v>108</v>
      </c>
    </row>
    <row r="4" spans="1:4" ht="12.75">
      <c r="A4" s="21" t="s">
        <v>109</v>
      </c>
      <c r="B4" s="21" t="s">
        <v>102</v>
      </c>
      <c r="C4" s="21"/>
      <c r="D4" s="21" t="s">
        <v>110</v>
      </c>
    </row>
    <row r="5" spans="1:6" ht="12.75">
      <c r="A5" t="s">
        <v>111</v>
      </c>
      <c r="B5" s="4" t="s">
        <v>103</v>
      </c>
      <c r="C5" s="21" t="s">
        <v>88</v>
      </c>
      <c r="D5" s="21" t="s">
        <v>321</v>
      </c>
      <c r="E5" s="21" t="s">
        <v>112</v>
      </c>
      <c r="F5" s="21" t="s">
        <v>113</v>
      </c>
    </row>
    <row r="6" spans="1:6" ht="12.75">
      <c r="A6" s="63" t="s">
        <v>29</v>
      </c>
      <c r="B6" s="62">
        <v>1.7347167034584254</v>
      </c>
      <c r="C6" s="63">
        <v>49</v>
      </c>
      <c r="D6" s="63">
        <v>49</v>
      </c>
      <c r="E6" s="63">
        <v>49</v>
      </c>
      <c r="F6" s="63">
        <v>49</v>
      </c>
    </row>
    <row r="7" spans="1:6" ht="12.75">
      <c r="A7" s="117" t="s">
        <v>31</v>
      </c>
      <c r="B7" s="22">
        <v>1.669970566593083</v>
      </c>
      <c r="C7" s="117">
        <v>57</v>
      </c>
      <c r="D7" s="117">
        <v>57</v>
      </c>
      <c r="E7" s="117">
        <v>57</v>
      </c>
      <c r="F7" s="117">
        <v>57</v>
      </c>
    </row>
    <row r="8" spans="1:6" ht="12.75">
      <c r="A8" s="117" t="s">
        <v>33</v>
      </c>
      <c r="B8" s="22">
        <v>1.566990434142752</v>
      </c>
      <c r="C8" s="117">
        <v>52</v>
      </c>
      <c r="D8" s="117">
        <v>52</v>
      </c>
      <c r="E8" s="117">
        <v>52</v>
      </c>
      <c r="F8" s="117">
        <v>52</v>
      </c>
    </row>
    <row r="9" spans="1:6" ht="12.75">
      <c r="A9" s="117" t="s">
        <v>34</v>
      </c>
      <c r="B9" s="22">
        <v>1.4503384841795437</v>
      </c>
      <c r="C9" s="117">
        <v>18</v>
      </c>
      <c r="D9" s="117">
        <v>18</v>
      </c>
      <c r="E9" s="117">
        <v>18</v>
      </c>
      <c r="F9" s="117">
        <v>18</v>
      </c>
    </row>
    <row r="10" spans="1:6" ht="12.75">
      <c r="A10" s="117" t="s">
        <v>36</v>
      </c>
      <c r="B10" s="22">
        <v>1.3693966151582047</v>
      </c>
      <c r="C10" s="117">
        <v>63</v>
      </c>
      <c r="D10" s="117">
        <v>63</v>
      </c>
      <c r="E10" s="117">
        <v>63</v>
      </c>
      <c r="F10" s="117">
        <v>63</v>
      </c>
    </row>
    <row r="11" spans="1:6" ht="12.75">
      <c r="A11" s="117" t="s">
        <v>37</v>
      </c>
      <c r="B11" s="22">
        <v>0.8843046357615894</v>
      </c>
      <c r="C11" s="117">
        <v>60</v>
      </c>
      <c r="D11" s="117">
        <v>60</v>
      </c>
      <c r="E11" s="117">
        <v>60</v>
      </c>
      <c r="F11" s="117">
        <v>60</v>
      </c>
    </row>
    <row r="12" spans="1:6" ht="12.75">
      <c r="A12" s="117" t="s">
        <v>38</v>
      </c>
      <c r="B12" s="22">
        <v>0.8704267844002942</v>
      </c>
      <c r="C12" s="117">
        <v>60</v>
      </c>
      <c r="D12" s="117">
        <v>60</v>
      </c>
      <c r="E12" s="117">
        <v>60</v>
      </c>
      <c r="F12" s="117">
        <v>60</v>
      </c>
    </row>
    <row r="13" spans="1:6" ht="12.75">
      <c r="A13" s="117" t="s">
        <v>39</v>
      </c>
      <c r="B13" s="22">
        <v>0.7445548197203826</v>
      </c>
      <c r="C13" s="117">
        <v>52</v>
      </c>
      <c r="D13" s="117">
        <v>52</v>
      </c>
      <c r="E13" s="117">
        <v>52</v>
      </c>
      <c r="F13" s="117">
        <v>52</v>
      </c>
    </row>
    <row r="14" spans="1:6" ht="12.75">
      <c r="A14" s="117" t="s">
        <v>40</v>
      </c>
      <c r="B14" s="22">
        <v>0.7309124356144223</v>
      </c>
      <c r="C14" s="117">
        <v>54</v>
      </c>
      <c r="D14" s="117">
        <v>54</v>
      </c>
      <c r="E14" s="117">
        <v>54</v>
      </c>
      <c r="F14" s="117">
        <v>54</v>
      </c>
    </row>
    <row r="15" spans="1:6" ht="12.75">
      <c r="A15" s="117" t="s">
        <v>41</v>
      </c>
      <c r="B15" s="22">
        <v>0.4886239882266372</v>
      </c>
      <c r="C15" s="117">
        <v>48</v>
      </c>
      <c r="D15" s="117">
        <v>48</v>
      </c>
      <c r="E15" s="117">
        <v>48</v>
      </c>
      <c r="F15" s="117">
        <v>48</v>
      </c>
    </row>
    <row r="16" spans="1:6" ht="12.75">
      <c r="A16" s="117" t="s">
        <v>42</v>
      </c>
      <c r="B16" s="22">
        <v>0.465504047093451</v>
      </c>
      <c r="C16" s="117">
        <v>53</v>
      </c>
      <c r="D16" s="117">
        <v>53</v>
      </c>
      <c r="E16" s="117">
        <v>53</v>
      </c>
      <c r="F16" s="117">
        <v>53</v>
      </c>
    </row>
    <row r="17" spans="1:6" ht="12.75">
      <c r="A17" s="117" t="s">
        <v>43</v>
      </c>
      <c r="B17" s="22">
        <v>0.3368211920529801</v>
      </c>
      <c r="C17" s="117">
        <v>68</v>
      </c>
      <c r="D17" s="117">
        <v>57</v>
      </c>
      <c r="E17" s="117">
        <v>68</v>
      </c>
      <c r="F17" s="117">
        <v>68</v>
      </c>
    </row>
    <row r="18" spans="1:6" ht="12.75">
      <c r="A18" s="117" t="s">
        <v>44</v>
      </c>
      <c r="B18" s="22">
        <v>0.32394407652685797</v>
      </c>
      <c r="C18" s="117">
        <v>31</v>
      </c>
      <c r="D18" s="117">
        <v>31</v>
      </c>
      <c r="E18" s="117">
        <v>31</v>
      </c>
      <c r="F18" s="117">
        <v>31</v>
      </c>
    </row>
    <row r="19" spans="1:6" ht="12.75">
      <c r="A19" s="117" t="s">
        <v>46</v>
      </c>
      <c r="B19" s="22">
        <v>0.29235467255334807</v>
      </c>
      <c r="C19" s="117">
        <v>58</v>
      </c>
      <c r="D19" s="117">
        <v>53</v>
      </c>
      <c r="E19" s="117">
        <v>58</v>
      </c>
      <c r="F19" s="117">
        <v>58</v>
      </c>
    </row>
    <row r="20" spans="1:6" ht="12.75">
      <c r="A20" s="117" t="s">
        <v>48</v>
      </c>
      <c r="B20" s="22">
        <v>0.2379175864606328</v>
      </c>
      <c r="C20" s="117">
        <v>62</v>
      </c>
      <c r="D20" s="117">
        <v>49</v>
      </c>
      <c r="E20" s="117">
        <v>62</v>
      </c>
      <c r="F20" s="117">
        <v>62</v>
      </c>
    </row>
    <row r="21" spans="1:6" ht="12.75">
      <c r="A21" s="117" t="s">
        <v>49</v>
      </c>
      <c r="B21" s="22">
        <v>0.2218175128771155</v>
      </c>
      <c r="C21" s="117">
        <v>52</v>
      </c>
      <c r="D21" s="117">
        <v>52</v>
      </c>
      <c r="E21" s="117">
        <v>52</v>
      </c>
      <c r="F21" s="117">
        <v>52</v>
      </c>
    </row>
    <row r="22" spans="1:6" ht="12.75">
      <c r="A22" s="117" t="s">
        <v>50</v>
      </c>
      <c r="B22" s="22">
        <v>0.18508462104488593</v>
      </c>
      <c r="C22" s="117">
        <v>67</v>
      </c>
      <c r="D22" s="117">
        <v>51</v>
      </c>
      <c r="E22" s="117">
        <v>67</v>
      </c>
      <c r="F22" s="117">
        <v>67</v>
      </c>
    </row>
    <row r="23" spans="1:6" ht="12.75">
      <c r="A23" s="117" t="s">
        <v>51</v>
      </c>
      <c r="B23" s="22">
        <v>0.16093451066961</v>
      </c>
      <c r="C23" s="117">
        <v>60</v>
      </c>
      <c r="D23" s="117">
        <v>45</v>
      </c>
      <c r="E23" s="117">
        <v>60</v>
      </c>
      <c r="F23" s="117">
        <v>60</v>
      </c>
    </row>
    <row r="24" spans="1:6" ht="12.75">
      <c r="A24" s="117" t="s">
        <v>52</v>
      </c>
      <c r="B24" s="22">
        <v>0.07874172185430464</v>
      </c>
      <c r="C24" s="117">
        <v>60</v>
      </c>
      <c r="D24" s="117">
        <v>43</v>
      </c>
      <c r="E24" s="117">
        <v>60</v>
      </c>
      <c r="F24" s="117">
        <v>60</v>
      </c>
    </row>
    <row r="25" spans="1:6" ht="12.75">
      <c r="A25" s="117" t="s">
        <v>53</v>
      </c>
      <c r="B25" s="22">
        <v>0.03743193524650479</v>
      </c>
      <c r="C25" s="117">
        <v>66</v>
      </c>
      <c r="D25" s="117">
        <v>43</v>
      </c>
      <c r="E25" s="117">
        <v>66</v>
      </c>
      <c r="F25" s="117">
        <v>66</v>
      </c>
    </row>
    <row r="26" spans="1:6" ht="12.75">
      <c r="A26" s="117" t="s">
        <v>54</v>
      </c>
      <c r="B26" s="22">
        <v>0.01144223693892568</v>
      </c>
      <c r="C26" s="117">
        <v>60</v>
      </c>
      <c r="D26" s="117">
        <v>38</v>
      </c>
      <c r="E26" s="117">
        <v>60</v>
      </c>
      <c r="F26" s="117">
        <v>60</v>
      </c>
    </row>
    <row r="27" spans="1:6" ht="12.75">
      <c r="A27" s="117" t="s">
        <v>55</v>
      </c>
      <c r="B27" s="22">
        <v>-0.0016997792494481236</v>
      </c>
      <c r="C27" s="117">
        <v>62</v>
      </c>
      <c r="D27" s="117">
        <v>43</v>
      </c>
      <c r="E27" s="117">
        <v>62</v>
      </c>
      <c r="F27" s="117">
        <v>62</v>
      </c>
    </row>
    <row r="28" spans="1:6" ht="12.75">
      <c r="A28" s="117" t="s">
        <v>56</v>
      </c>
      <c r="B28" s="22">
        <v>-0.07874172185430463</v>
      </c>
      <c r="C28" s="117">
        <v>49</v>
      </c>
      <c r="D28" s="117">
        <v>31</v>
      </c>
      <c r="E28" s="117">
        <v>49</v>
      </c>
      <c r="F28" s="117">
        <v>49</v>
      </c>
    </row>
    <row r="29" spans="1:6" ht="12.75">
      <c r="A29" s="117" t="s">
        <v>57</v>
      </c>
      <c r="B29" s="22">
        <v>-0.21315673289183223</v>
      </c>
      <c r="C29" s="117">
        <v>59</v>
      </c>
      <c r="D29" s="117">
        <v>36</v>
      </c>
      <c r="E29" s="117">
        <v>59</v>
      </c>
      <c r="F29" s="117">
        <v>0</v>
      </c>
    </row>
    <row r="30" spans="1:6" ht="12.75">
      <c r="A30" s="117" t="s">
        <v>58</v>
      </c>
      <c r="B30" s="22">
        <v>-0.43249448123620315</v>
      </c>
      <c r="C30" s="117">
        <v>48</v>
      </c>
      <c r="D30" s="117">
        <v>19</v>
      </c>
      <c r="E30" s="117">
        <v>48</v>
      </c>
      <c r="F30" s="117">
        <v>0</v>
      </c>
    </row>
    <row r="31" spans="1:6" ht="12.75">
      <c r="A31" s="117" t="s">
        <v>59</v>
      </c>
      <c r="B31" s="22">
        <v>-0.4476747608535689</v>
      </c>
      <c r="C31" s="117">
        <v>71</v>
      </c>
      <c r="D31" s="117">
        <v>29</v>
      </c>
      <c r="E31" s="117">
        <v>71</v>
      </c>
      <c r="F31" s="117">
        <v>0</v>
      </c>
    </row>
    <row r="32" spans="1:6" ht="12.75">
      <c r="A32" s="117" t="s">
        <v>60</v>
      </c>
      <c r="B32" s="22">
        <v>-0.6160779985283297</v>
      </c>
      <c r="C32" s="117">
        <v>65</v>
      </c>
      <c r="D32" s="117">
        <v>26</v>
      </c>
      <c r="E32" s="117">
        <v>65</v>
      </c>
      <c r="F32" s="117">
        <v>0</v>
      </c>
    </row>
    <row r="33" spans="1:6" ht="12.75">
      <c r="A33" s="117" t="s">
        <v>61</v>
      </c>
      <c r="B33" s="22">
        <v>-0.7011773362766741</v>
      </c>
      <c r="C33" s="117">
        <v>61</v>
      </c>
      <c r="D33" s="117">
        <v>19</v>
      </c>
      <c r="E33" s="117">
        <v>61</v>
      </c>
      <c r="F33" s="117">
        <v>0</v>
      </c>
    </row>
    <row r="34" spans="1:6" ht="12.75">
      <c r="A34" s="117" t="s">
        <v>62</v>
      </c>
      <c r="B34" s="22">
        <v>-0.8287270051508462</v>
      </c>
      <c r="C34" s="117">
        <v>50</v>
      </c>
      <c r="D34" s="117">
        <v>13</v>
      </c>
      <c r="E34" s="118">
        <v>0</v>
      </c>
      <c r="F34" s="118">
        <v>0</v>
      </c>
    </row>
    <row r="35" spans="1:6" ht="12.75">
      <c r="A35" s="117" t="s">
        <v>63</v>
      </c>
      <c r="B35" s="22">
        <v>-0.9424135393671818</v>
      </c>
      <c r="C35" s="117">
        <v>55</v>
      </c>
      <c r="D35" s="117">
        <v>12</v>
      </c>
      <c r="E35" s="118">
        <v>0</v>
      </c>
      <c r="F35" s="118">
        <v>0</v>
      </c>
    </row>
    <row r="36" spans="1:6" ht="12.75">
      <c r="A36" s="117" t="s">
        <v>64</v>
      </c>
      <c r="B36" s="22">
        <v>-1.1447682119205298</v>
      </c>
      <c r="C36" s="117">
        <v>55</v>
      </c>
      <c r="D36" s="117">
        <v>3</v>
      </c>
      <c r="E36" s="118">
        <v>0</v>
      </c>
      <c r="F36" s="118">
        <v>0</v>
      </c>
    </row>
    <row r="37" spans="1:6" ht="12.75">
      <c r="A37" s="117" t="s">
        <v>65</v>
      </c>
      <c r="B37" s="22">
        <v>-1.1682413539367182</v>
      </c>
      <c r="C37" s="117">
        <v>58</v>
      </c>
      <c r="D37" s="117">
        <v>1</v>
      </c>
      <c r="E37" s="118">
        <v>0</v>
      </c>
      <c r="F37" s="118">
        <v>0</v>
      </c>
    </row>
    <row r="38" spans="1:6" ht="12.75">
      <c r="A38" s="117" t="s">
        <v>66</v>
      </c>
      <c r="B38" s="22">
        <v>-1.3168064753495217</v>
      </c>
      <c r="C38" s="117">
        <v>63</v>
      </c>
      <c r="D38" s="117">
        <v>0</v>
      </c>
      <c r="E38" s="118">
        <v>0</v>
      </c>
      <c r="F38" s="118">
        <v>0</v>
      </c>
    </row>
    <row r="39" spans="1:6" ht="12.75">
      <c r="A39" s="117" t="s">
        <v>67</v>
      </c>
      <c r="B39" s="22">
        <v>-1.8666961000735836</v>
      </c>
      <c r="C39" s="117">
        <v>55</v>
      </c>
      <c r="D39" s="117">
        <v>0</v>
      </c>
      <c r="E39" s="118">
        <v>0</v>
      </c>
      <c r="F39" s="118">
        <v>0</v>
      </c>
    </row>
    <row r="40" spans="1:6" ht="12.75">
      <c r="A40" s="117" t="s">
        <v>68</v>
      </c>
      <c r="B40" s="22">
        <v>-1.9817807211184697</v>
      </c>
      <c r="C40" s="117">
        <v>55</v>
      </c>
      <c r="D40" s="117">
        <v>0</v>
      </c>
      <c r="E40" s="118">
        <v>0</v>
      </c>
      <c r="F40" s="118">
        <v>0</v>
      </c>
    </row>
    <row r="41" spans="1:6" ht="12.75">
      <c r="A41" s="117" t="s">
        <v>69</v>
      </c>
      <c r="B41" s="22">
        <v>-2.1218101545253862</v>
      </c>
      <c r="C41" s="117">
        <v>50</v>
      </c>
      <c r="D41" s="117">
        <v>0</v>
      </c>
      <c r="E41" s="118">
        <v>0</v>
      </c>
      <c r="F41" s="118">
        <v>0</v>
      </c>
    </row>
    <row r="42" spans="1:6" ht="12.75">
      <c r="A42" s="61" t="s">
        <v>70</v>
      </c>
      <c r="B42" s="62">
        <f>SUM(B6:B41)</f>
        <v>-3.679175864590434E-05</v>
      </c>
      <c r="C42" s="63">
        <f>SUM(C6:C41)</f>
        <v>2006</v>
      </c>
      <c r="D42" s="63">
        <f>SUM(D6:D41)</f>
        <v>1260</v>
      </c>
      <c r="E42" s="64">
        <f>SUM(E6:E41)</f>
        <v>1565</v>
      </c>
      <c r="F42" s="64">
        <f>SUM(F6:F41)</f>
        <v>1261</v>
      </c>
    </row>
    <row r="43" spans="1:6" ht="14.25">
      <c r="A43" s="21" t="s">
        <v>114</v>
      </c>
      <c r="B43" s="22"/>
      <c r="C43" s="22">
        <f>C42*C42/SUMSQ(C6:C41)</f>
        <v>34.93936026117459</v>
      </c>
      <c r="D43" s="22">
        <f>D42*D42/SUMSQ(D6:D41)</f>
        <v>26.844775109908692</v>
      </c>
      <c r="E43" s="22">
        <f>E42*E42/SUMSQ(E6:E41)</f>
        <v>26.99197698894632</v>
      </c>
      <c r="F43" s="22">
        <f>F42*F42/SUMSQ(F6:F41)</f>
        <v>22.095140828435255</v>
      </c>
    </row>
    <row r="44" spans="1:6" ht="12.75">
      <c r="A44" s="4" t="s">
        <v>115</v>
      </c>
      <c r="B44" s="22"/>
      <c r="C44" s="23">
        <f>SUMPRODUCT($B6:$B41,C6:C41)/C42</f>
        <v>-0.03231970754403455</v>
      </c>
      <c r="D44" s="23">
        <f>SUMPRODUCT($B6:$B41,D6:D41)/D42</f>
        <v>0.4827568531950431</v>
      </c>
      <c r="E44" s="23">
        <f>SUMPRODUCT($B6:$B41,E6:E41)/E42</f>
        <v>0.3577454010301693</v>
      </c>
      <c r="F44" s="23">
        <f>SUMPRODUCT($B6:$B41,F6:F41)/F42</f>
        <v>0.5613079543140306</v>
      </c>
    </row>
    <row r="46" ht="12.75">
      <c r="A46" s="21" t="s">
        <v>116</v>
      </c>
    </row>
    <row r="47" spans="1:7" ht="12.75">
      <c r="A47" s="21" t="s">
        <v>117</v>
      </c>
      <c r="F47" s="5"/>
      <c r="G47" s="5"/>
    </row>
    <row r="48" ht="12.75">
      <c r="A48" s="21" t="s">
        <v>118</v>
      </c>
    </row>
    <row r="49" ht="12.75">
      <c r="A49" s="21" t="s">
        <v>119</v>
      </c>
    </row>
    <row r="50" ht="12.75">
      <c r="A50" s="21" t="s">
        <v>120</v>
      </c>
    </row>
    <row r="51" ht="12.75">
      <c r="A51" s="21" t="s">
        <v>121</v>
      </c>
    </row>
    <row r="52" ht="12.75">
      <c r="A52" s="21" t="s">
        <v>122</v>
      </c>
    </row>
    <row r="53" ht="12.75">
      <c r="A53" s="21" t="s">
        <v>123</v>
      </c>
    </row>
  </sheetData>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SLU, S-901 83 Umeå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Linear deplyment</dc:title>
  <dc:subject/>
  <dc:creator>Dag Lindgren</dc:creator>
  <cp:keywords/>
  <dc:description/>
  <cp:lastModifiedBy>Dag Lindgren</cp:lastModifiedBy>
  <dcterms:created xsi:type="dcterms:W3CDTF">1996-06-19T09:01:17Z</dcterms:created>
  <dcterms:modified xsi:type="dcterms:W3CDTF">2004-06-10T11:43:12Z</dcterms:modified>
  <cp:category/>
  <cp:version/>
  <cp:contentType/>
  <cp:contentStatus/>
</cp:coreProperties>
</file>