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00" windowWidth="9045" windowHeight="7740" tabRatio="728" activeTab="3"/>
  </bookViews>
  <sheets>
    <sheet name="Explanations" sheetId="1" r:id="rId1"/>
    <sheet name="Explanation of Alternatives" sheetId="2" r:id="rId2"/>
    <sheet name="Older Main" sheetId="3" r:id="rId3"/>
    <sheet name="Main" sheetId="4" r:id="rId4"/>
    <sheet name="Gain pred ClonalMix" sheetId="5" r:id="rId5"/>
  </sheets>
  <definedNames/>
  <calcPr fullCalcOnLoad="1"/>
</workbook>
</file>

<file path=xl/comments1.xml><?xml version="1.0" encoding="utf-8"?>
<comments xmlns="http://schemas.openxmlformats.org/spreadsheetml/2006/main">
  <authors>
    <author>Dag Lindgren</author>
  </authors>
  <commentList>
    <comment ref="K9" authorId="0">
      <text>
        <r>
          <rPr>
            <sz val="8"/>
            <rFont val="Tahoma"/>
            <family val="0"/>
          </rPr>
          <t xml:space="preserve">E.g. it may be the standard deviation of volume production at rotation age
</t>
        </r>
      </text>
    </comment>
    <comment ref="K13" authorId="0">
      <text>
        <r>
          <rPr>
            <sz val="8"/>
            <rFont val="Tahoma"/>
            <family val="0"/>
          </rPr>
          <t>The real thing we are after is the correlation between the measured value and the true value.The "true" value lies in the future.  A component of this is juvenile mature correlation, then this is emphasised rY is used. But the true value may be other characters than juvenile mature correlations can be expressed in. The important mature characters are even not exactly  known. When this is emphasised, rg is used.</t>
        </r>
      </text>
    </comment>
    <comment ref="M166" authorId="0">
      <text>
        <r>
          <rPr>
            <sz val="8"/>
            <rFont val="Tahoma"/>
            <family val="0"/>
          </rPr>
          <t>This is Alt 4 a2 between family. Some may find this formula easier to understand if the factor 0.5sA2/m is moved from the beginning of the formula towards the end. The reason for the current formulation is that the analogy with the corresponding a1 seems easier to realise.</t>
        </r>
      </text>
    </comment>
    <comment ref="M167" authorId="0">
      <text>
        <r>
          <rPr>
            <sz val="8"/>
            <rFont val="Tahoma"/>
            <family val="0"/>
          </rPr>
          <t>This is the same formula as above with 0.5sA2/m moved from the beginning of the formula towards the end to make the within family variance more apperent at the end.</t>
        </r>
      </text>
    </comment>
    <comment ref="B1" authorId="0">
      <text>
        <r>
          <rPr>
            <b/>
            <sz val="8"/>
            <color indexed="10"/>
            <rFont val="Tahoma"/>
            <family val="2"/>
          </rPr>
          <t>What does this workbook do</t>
        </r>
        <r>
          <rPr>
            <sz val="8"/>
            <color indexed="10"/>
            <rFont val="Tahoma"/>
            <family val="2"/>
          </rPr>
          <t>?</t>
        </r>
        <r>
          <rPr>
            <sz val="8"/>
            <rFont val="Tahoma"/>
            <family val="0"/>
          </rPr>
          <t xml:space="preserve">
It compares breeding options mainly focusing on their ability to support a seed orchard. A study of the contents below will help, but contains non trivial segments. The explaining alternatives will certainly help</t>
        </r>
      </text>
    </comment>
    <comment ref="C1" authorId="0">
      <text>
        <r>
          <rPr>
            <sz val="8"/>
            <rFont val="Tahoma"/>
            <family val="0"/>
          </rPr>
          <t>To try some examples will help to understand the function of the workbook</t>
        </r>
      </text>
    </comment>
  </commentList>
</comments>
</file>

<file path=xl/comments3.xml><?xml version="1.0" encoding="utf-8"?>
<comments xmlns="http://schemas.openxmlformats.org/spreadsheetml/2006/main">
  <authors>
    <author>ALICE HATCHER</author>
    <author>Dag Lindgren</author>
    <author>Darius Danusevius</author>
  </authors>
  <commentList>
    <comment ref="C7" authorId="0">
      <text>
        <r>
          <rPr>
            <sz val="10"/>
            <rFont val="Tahoma"/>
            <family val="2"/>
          </rPr>
          <t>refers to variance components of the observed character (or index)</t>
        </r>
      </text>
    </comment>
    <comment ref="K8" authorId="0">
      <text>
        <r>
          <rPr>
            <sz val="10"/>
            <rFont val="Tahoma"/>
            <family val="2"/>
          </rPr>
          <t>standard deviation of goal character (mature age)</t>
        </r>
      </text>
    </comment>
    <comment ref="L8" authorId="1">
      <text>
        <r>
          <rPr>
            <sz val="8"/>
            <rFont val="Tahoma"/>
            <family val="0"/>
          </rPr>
          <t>The genetic gain may be measured in relative or absolute units. This entry can be said to regulate this.
If this is kept to 1, gains will be expressed in a scale where the standard deviation of the goal character is the unit, so it may often be a good idea to let this stay at 1.
If an absolute scale is used, it is best to have percent of the average, thus 10 means that additive genetic variance is 10 percent of the average.</t>
        </r>
      </text>
    </comment>
    <comment ref="O4" authorId="1">
      <text>
        <r>
          <rPr>
            <b/>
            <sz val="8"/>
            <rFont val="Tahoma"/>
            <family val="0"/>
          </rPr>
          <t>Cost components may be as important considerations as genetic variance components. The cost is specified in different components, an initial component and costs which depend on the number of plants and number of parents.
You get the costs of different alternatives
One way of comparing alternatives is to keep cost constant.</t>
        </r>
      </text>
    </comment>
    <comment ref="J5" authorId="1">
      <text>
        <r>
          <rPr>
            <sz val="8"/>
            <rFont val="Tahoma"/>
            <family val="2"/>
          </rPr>
          <t>It is suggested to keep Q=,1 if you are not familiar with its meaning. Q is useful when options considers different selection ages. When Q is the fraction of rotation time at which experiments are evaluated and used as an entry to get juvenile-mature correlation. But if just the gain under the conditions of selection (including age) are wanted Q should be kept at 1.</t>
        </r>
      </text>
    </comment>
    <comment ref="O56" authorId="1">
      <text>
        <r>
          <rPr>
            <sz val="8"/>
            <rFont val="Tahoma"/>
            <family val="0"/>
          </rPr>
          <t xml:space="preserve">The cost per clone= cost per parent
</t>
        </r>
      </text>
    </comment>
    <comment ref="L55" authorId="1">
      <text>
        <r>
          <rPr>
            <b/>
            <sz val="8"/>
            <rFont val="Tahoma"/>
            <family val="0"/>
          </rPr>
          <t>Note that this is gain in breeding value, thus what you get if you put the clones into a seed orchard</t>
        </r>
      </text>
    </comment>
    <comment ref="F7" authorId="1">
      <text>
        <r>
          <rPr>
            <sz val="8"/>
            <rFont val="Tahoma"/>
            <family val="2"/>
          </rPr>
          <t>Additive variance, it is often convenient to keep this constant at 1</t>
        </r>
      </text>
    </comment>
    <comment ref="H7" authorId="1">
      <text>
        <r>
          <rPr>
            <sz val="8"/>
            <rFont val="Tahoma"/>
            <family val="2"/>
          </rPr>
          <t>Dominance variance
A suggested relevant typical value may be 25% of the additive variance. But this may vary with the circumstances.</t>
        </r>
      </text>
    </comment>
    <comment ref="J7" authorId="1">
      <text>
        <r>
          <rPr>
            <sz val="8"/>
            <rFont val="Tahoma"/>
            <family val="2"/>
          </rPr>
          <t>Environmental variance. It could be convenient to give it a value so heritability becomes an even number.</t>
        </r>
      </text>
    </comment>
    <comment ref="L7" authorId="1">
      <text>
        <r>
          <rPr>
            <sz val="8"/>
            <rFont val="Tahoma"/>
            <family val="2"/>
          </rPr>
          <t>Total variance among trees  (thus the sum of additive, dominance and environmental)</t>
        </r>
      </text>
    </comment>
    <comment ref="F9" authorId="1">
      <text>
        <r>
          <rPr>
            <sz val="8"/>
            <rFont val="Tahoma"/>
            <family val="2"/>
          </rPr>
          <t>Heritability in narrow sense</t>
        </r>
      </text>
    </comment>
    <comment ref="H9" authorId="1">
      <text>
        <r>
          <rPr>
            <b/>
            <sz val="8"/>
            <rFont val="Tahoma"/>
            <family val="0"/>
          </rPr>
          <t>Heritability in broad sense</t>
        </r>
      </text>
    </comment>
    <comment ref="L5" authorId="1">
      <text>
        <r>
          <rPr>
            <sz val="8"/>
            <rFont val="Tahoma"/>
            <family val="2"/>
          </rPr>
          <t>Juvenile-mature genetic correlation. This function is enscribed in the Visual Basic code which is a part this workbook as a function r(). It is essentially the formula by Lambeth (1980)
rY=1.02 + 0.308 * Log(Q)
with some adjustment for Q close to 0 or 1.
Other formulas can be inserted instead from the basic code.
Note that the formula was initially developed for phenotypic selections, selection based on breeding values may be more accurate at an early age!</t>
        </r>
      </text>
    </comment>
    <comment ref="Q8" authorId="1">
      <text>
        <r>
          <rPr>
            <b/>
            <sz val="8"/>
            <rFont val="Tahoma"/>
            <family val="0"/>
          </rPr>
          <t>Rotation time</t>
        </r>
      </text>
    </comment>
    <comment ref="G56" authorId="1">
      <text>
        <r>
          <rPr>
            <sz val="8"/>
            <rFont val="Tahoma"/>
            <family val="0"/>
          </rPr>
          <t>ramet number</t>
        </r>
      </text>
    </comment>
    <comment ref="N58" authorId="1">
      <text>
        <r>
          <rPr>
            <sz val="8"/>
            <rFont val="Tahoma"/>
            <family val="0"/>
          </rPr>
          <t>Status number=number of clones selected
(Clones are assumed unrelated and non inbred)</t>
        </r>
      </text>
    </comment>
    <comment ref="N59" authorId="1">
      <text>
        <r>
          <rPr>
            <sz val="8"/>
            <rFont val="Tahoma"/>
            <family val="2"/>
          </rPr>
          <t>Group coancestry corresponding to number of selected clones</t>
        </r>
      </text>
    </comment>
    <comment ref="O6" authorId="1">
      <text>
        <r>
          <rPr>
            <sz val="8"/>
            <rFont val="Tahoma"/>
            <family val="0"/>
          </rPr>
          <t>This is the marginal cost of one additional plant added to the trial. It is suggested that this cost is kept as a unit, thus 1.</t>
        </r>
      </text>
    </comment>
    <comment ref="O5" authorId="1">
      <text>
        <r>
          <rPr>
            <sz val="8"/>
            <rFont val="Tahoma"/>
            <family val="0"/>
          </rPr>
          <t xml:space="preserve">This is an initial cost for setting up the experiment/test, thus a fixed cost. If you do not want to do a very advanced analysis, you may just put this to 0. </t>
        </r>
      </text>
    </comment>
    <comment ref="O7" authorId="1">
      <text>
        <r>
          <rPr>
            <sz val="8"/>
            <rFont val="Tahoma"/>
            <family val="0"/>
          </rPr>
          <t>This is the marginal cost per additional parent</t>
        </r>
      </text>
    </comment>
    <comment ref="D5" authorId="1">
      <text>
        <r>
          <rPr>
            <sz val="8"/>
            <rFont val="Tahoma"/>
            <family val="0"/>
          </rPr>
          <t xml:space="preserve">The </t>
        </r>
        <r>
          <rPr>
            <b/>
            <sz val="8"/>
            <color indexed="10"/>
            <rFont val="Tahoma"/>
            <family val="2"/>
          </rPr>
          <t>red figures with yellow backgound</t>
        </r>
        <r>
          <rPr>
            <sz val="8"/>
            <color indexed="10"/>
            <rFont val="Tahoma"/>
            <family val="2"/>
          </rPr>
          <t xml:space="preserve"> </t>
        </r>
        <r>
          <rPr>
            <sz val="8"/>
            <rFont val="Tahoma"/>
            <family val="0"/>
          </rPr>
          <t>are meant to be changed by the user.</t>
        </r>
      </text>
    </comment>
    <comment ref="L32" authorId="1">
      <text>
        <r>
          <rPr>
            <sz val="8"/>
            <rFont val="Tahoma"/>
            <family val="0"/>
          </rPr>
          <t xml:space="preserve">This gain is adjusted for an assumed negative breeding value influence of the pollen. </t>
        </r>
      </text>
    </comment>
    <comment ref="O38" authorId="1">
      <text>
        <r>
          <rPr>
            <sz val="8"/>
            <rFont val="Tahoma"/>
            <family val="0"/>
          </rPr>
          <t>This value is used for alternatives, when the effect of wind-pollen enter into the gain (Alt 3). This is the gain by the assumed plus tree selection. First cycle plus trees are assumed to have BV=0. For OP families, the fathers can be unimproved and have lower BV. Therefore a reduction of gain will be made based on half  the plus tree gain you insert here. It has to be noted that the value of improvement of plust trees has to be in scale of mature additive standard deviation unit, thus if that gain is 10% of value, and initial plust tree selection is 10% value, the value of the cell is 1!</t>
        </r>
        <r>
          <rPr>
            <sz val="8"/>
            <rFont val="Tahoma"/>
            <family val="2"/>
          </rPr>
          <t xml:space="preserve"> Cells concerned with this reduction have grey background</t>
        </r>
        <r>
          <rPr>
            <sz val="8"/>
            <rFont val="Tahoma"/>
            <family val="0"/>
          </rPr>
          <t>.</t>
        </r>
      </text>
    </comment>
    <comment ref="F5" authorId="1">
      <text>
        <r>
          <rPr>
            <b/>
            <sz val="8"/>
            <color indexed="12"/>
            <rFont val="Tahoma"/>
            <family val="2"/>
          </rPr>
          <t>Bold values in blue with yellow background</t>
        </r>
        <r>
          <rPr>
            <sz val="8"/>
            <rFont val="Tahoma"/>
            <family val="0"/>
          </rPr>
          <t xml:space="preserve"> are considered main result. Do not change blue values, because when the workbook will not work!</t>
        </r>
      </text>
    </comment>
    <comment ref="G5" authorId="1">
      <text>
        <r>
          <rPr>
            <sz val="8"/>
            <color indexed="12"/>
            <rFont val="Tahoma"/>
            <family val="2"/>
          </rPr>
          <t>Unbolded values in blue</t>
        </r>
        <r>
          <rPr>
            <sz val="8"/>
            <rFont val="Tahoma"/>
            <family val="0"/>
          </rPr>
          <t xml:space="preserve"> are considered minor or intermediary results. Do not change blue values, because when the workbook will not work!</t>
        </r>
      </text>
    </comment>
    <comment ref="E5" authorId="1">
      <text>
        <r>
          <rPr>
            <sz val="8"/>
            <rFont val="Tahoma"/>
            <family val="0"/>
          </rPr>
          <t xml:space="preserve">The </t>
        </r>
        <r>
          <rPr>
            <b/>
            <i/>
            <sz val="8"/>
            <color indexed="10"/>
            <rFont val="Tahoma"/>
            <family val="2"/>
          </rPr>
          <t>red figures in italics</t>
        </r>
        <r>
          <rPr>
            <sz val="8"/>
            <rFont val="Tahoma"/>
            <family val="0"/>
          </rPr>
          <t xml:space="preserve"> are better not to be changed unless you are confident in what you are doing! But once you understand the more sophisticated details of the worksheet you may find it very useful to be able to control these.</t>
        </r>
      </text>
    </comment>
    <comment ref="D14" authorId="1">
      <text>
        <r>
          <rPr>
            <sz val="8"/>
            <rFont val="Tahoma"/>
            <family val="0"/>
          </rPr>
          <t xml:space="preserve">This is the number of plants in a half-sib family.
Suggested initial setting is </t>
        </r>
        <r>
          <rPr>
            <sz val="8"/>
            <color indexed="10"/>
            <rFont val="Tahoma"/>
            <family val="2"/>
          </rPr>
          <t>25</t>
        </r>
      </text>
    </comment>
    <comment ref="D16" authorId="1">
      <text>
        <r>
          <rPr>
            <sz val="8"/>
            <rFont val="Tahoma"/>
            <family val="0"/>
          </rPr>
          <t xml:space="preserve">The number of selected parents based on the progeny test.
Suggested initial setting is </t>
        </r>
        <r>
          <rPr>
            <sz val="8"/>
            <color indexed="10"/>
            <rFont val="Tahoma"/>
            <family val="2"/>
          </rPr>
          <t>20</t>
        </r>
      </text>
    </comment>
    <comment ref="J16" authorId="1">
      <text>
        <r>
          <rPr>
            <sz val="8"/>
            <rFont val="Tahoma"/>
            <family val="0"/>
          </rPr>
          <t>This is a selection intensity</t>
        </r>
      </text>
    </comment>
    <comment ref="N16" authorId="1">
      <text>
        <r>
          <rPr>
            <sz val="8"/>
            <rFont val="Tahoma"/>
            <family val="0"/>
          </rPr>
          <t>This is "effective size", thus status number. If parents are unrelated and non inbred, this equals nr of selected parents.</t>
        </r>
      </text>
    </comment>
    <comment ref="H16" authorId="1">
      <text>
        <r>
          <rPr>
            <sz val="8"/>
            <rFont val="Tahoma"/>
            <family val="0"/>
          </rPr>
          <t xml:space="preserve">The number of candidate  parents (often plus tree genotypes) available for selection.
Suggested initial setting is </t>
        </r>
        <r>
          <rPr>
            <sz val="8"/>
            <color indexed="10"/>
            <rFont val="Tahoma"/>
            <family val="2"/>
          </rPr>
          <t>100</t>
        </r>
      </text>
    </comment>
    <comment ref="N17" authorId="1">
      <text>
        <r>
          <rPr>
            <sz val="8"/>
            <rFont val="Tahoma"/>
            <family val="0"/>
          </rPr>
          <t>Group coancestry (average relationship)</t>
        </r>
      </text>
    </comment>
    <comment ref="L17" authorId="1">
      <text>
        <r>
          <rPr>
            <sz val="8"/>
            <rFont val="Tahoma"/>
            <family val="0"/>
          </rPr>
          <t>This is the correlation between the breeding value (additive genetic value) and the index used for estimating it. The gain is proportional to this correlation.</t>
        </r>
      </text>
    </comment>
    <comment ref="L13" authorId="1">
      <text>
        <r>
          <rPr>
            <sz val="8"/>
            <rFont val="Tahoma"/>
            <family val="0"/>
          </rPr>
          <t>Predicted gain in the mature (goal) character.</t>
        </r>
      </text>
    </comment>
    <comment ref="O14" authorId="1">
      <text>
        <r>
          <rPr>
            <sz val="8"/>
            <rFont val="Tahoma"/>
            <family val="0"/>
          </rPr>
          <t>The cost of the experiment in the cost units given.</t>
        </r>
      </text>
    </comment>
    <comment ref="O13" authorId="1">
      <text>
        <r>
          <rPr>
            <sz val="8"/>
            <rFont val="Tahoma"/>
            <family val="0"/>
          </rPr>
          <t>The number of experimental plants used for the experiment</t>
        </r>
      </text>
    </comment>
    <comment ref="N18" authorId="1">
      <text>
        <r>
          <rPr>
            <sz val="8"/>
            <rFont val="Tahoma"/>
            <family val="0"/>
          </rPr>
          <t>Number of selections</t>
        </r>
      </text>
    </comment>
    <comment ref="N47" authorId="1">
      <text>
        <r>
          <rPr>
            <sz val="8"/>
            <rFont val="Tahoma"/>
            <family val="0"/>
          </rPr>
          <t>Status number per full sib family; =2*s/(1+s); s=selections/family;   (Lindgren et al 1996)</t>
        </r>
      </text>
    </comment>
    <comment ref="S19" authorId="1">
      <text>
        <r>
          <rPr>
            <sz val="8"/>
            <rFont val="Tahoma"/>
            <family val="0"/>
          </rPr>
          <t>This is genetic gain in standard deviations of the mature character if selection made at mature age.</t>
        </r>
      </text>
    </comment>
    <comment ref="Q12" authorId="1">
      <text>
        <r>
          <rPr>
            <sz val="8"/>
            <rFont val="Tahoma"/>
            <family val="0"/>
          </rPr>
          <t>This is the number of years which has passed since activities were initiated</t>
        </r>
      </text>
    </comment>
    <comment ref="R12" authorId="1">
      <text>
        <r>
          <rPr>
            <sz val="8"/>
            <rFont val="Tahoma"/>
            <family val="0"/>
          </rPr>
          <t>The age at which selections are made as a fraction of full selection age</t>
        </r>
      </text>
    </comment>
    <comment ref="S12" authorId="1">
      <text>
        <r>
          <rPr>
            <sz val="8"/>
            <rFont val="Tahoma"/>
            <family val="2"/>
          </rPr>
          <t>Gain in units of standard deviation of the mature character. The function rg gives the correlatation between the juvenile measurement and the mature goal character.</t>
        </r>
      </text>
    </comment>
    <comment ref="T30" authorId="1">
      <text>
        <r>
          <rPr>
            <sz val="8"/>
            <rFont val="Tahoma"/>
            <family val="0"/>
          </rPr>
          <t>Gain considering that halfsibs may have unimproved (or less improved) fathers.</t>
        </r>
      </text>
    </comment>
    <comment ref="T12" authorId="1">
      <text>
        <r>
          <rPr>
            <sz val="8"/>
            <rFont val="Tahoma"/>
            <family val="0"/>
          </rPr>
          <t>How group merit per year for a planned seed orchard varies over time of establishment [(Q*Tr)+the delays before and after establishing the selection experiment (T&lt;p and T&gt;m)]. Note however that it is a bit doubtful to form this average, as it is not cyclically repeated.</t>
        </r>
      </text>
    </comment>
    <comment ref="B21" authorId="1">
      <text>
        <r>
          <rPr>
            <sz val="8"/>
            <rFont val="Tahoma"/>
            <family val="0"/>
          </rPr>
          <t>Note that in this alternative both parents to a full sib family get the same breeding value. Thus a good parent may be lost because it was mated with a bad one, and a bad parent may get selected because it was mated with a good one. As it is SPM, parents are included in only a single mating.</t>
        </r>
      </text>
    </comment>
    <comment ref="B12" authorId="1">
      <text>
        <r>
          <rPr>
            <sz val="8"/>
            <rFont val="Tahoma"/>
            <family val="0"/>
          </rPr>
          <t>Alternative 1
Parental testing, evaluation of parents based on the performance of their progeny, "progeny-test". This can be done e.g. by wind-pollination in the forest or polycross in a clonal archieve. The parents are ranked based on the performance of the progeny.</t>
        </r>
      </text>
    </comment>
    <comment ref="D69" authorId="1">
      <text>
        <r>
          <rPr>
            <sz val="8"/>
            <rFont val="Tahoma"/>
            <family val="2"/>
          </rPr>
          <t>This is selection intensity for finite case, it is used for calculating the gain (C73)</t>
        </r>
      </text>
    </comment>
    <comment ref="D65" authorId="1">
      <text>
        <r>
          <rPr>
            <sz val="8"/>
            <rFont val="Tahoma"/>
            <family val="0"/>
          </rPr>
          <t>This is the initial additive variance.</t>
        </r>
      </text>
    </comment>
    <comment ref="E65" authorId="1">
      <text>
        <r>
          <rPr>
            <sz val="8"/>
            <rFont val="Tahoma"/>
            <family val="0"/>
          </rPr>
          <t>This is the truncated additive variance</t>
        </r>
      </text>
    </comment>
    <comment ref="D66" authorId="1">
      <text>
        <r>
          <rPr>
            <sz val="8"/>
            <rFont val="Tahoma"/>
            <family val="0"/>
          </rPr>
          <t>This is the heritability in the first round of selections</t>
        </r>
      </text>
    </comment>
    <comment ref="E66" authorId="1">
      <text>
        <r>
          <rPr>
            <sz val="8"/>
            <rFont val="Tahoma"/>
            <family val="0"/>
          </rPr>
          <t>The heritability in the second round of selections, note that this heritability must take the reduced additive variance into consideration</t>
        </r>
      </text>
    </comment>
    <comment ref="E67" authorId="1">
      <text>
        <r>
          <rPr>
            <sz val="8"/>
            <rFont val="Tahoma"/>
            <family val="0"/>
          </rPr>
          <t>The number of initial selections available for the second round of selections</t>
        </r>
      </text>
    </comment>
    <comment ref="H5" authorId="1">
      <text>
        <r>
          <rPr>
            <sz val="8"/>
            <rFont val="Tahoma"/>
            <family val="0"/>
          </rPr>
          <t>Gray fields indicate that the genetic difference between selected plus tree mothers and unimproved wind pollen matters</t>
        </r>
      </text>
    </comment>
    <comment ref="I48" authorId="1">
      <text>
        <r>
          <rPr>
            <sz val="8"/>
            <rFont val="Tahoma"/>
            <family val="0"/>
          </rPr>
          <t>Some may find this formula easier to understand if the entity 0.5sA2/m is moved from the first term of the formula to the last. In that way the within family variance appear complete in the lats component of the formula. The reason for the current formulation is that the analogy with the corresponding a1 seems easier to realise.</t>
        </r>
      </text>
    </comment>
    <comment ref="C17" authorId="1">
      <text>
        <r>
          <rPr>
            <sz val="8"/>
            <color indexed="10"/>
            <rFont val="Tahoma"/>
            <family val="2"/>
          </rPr>
          <t>a1</t>
        </r>
        <r>
          <rPr>
            <sz val="8"/>
            <rFont val="Tahoma"/>
            <family val="0"/>
          </rPr>
          <t xml:space="preserve"> and </t>
        </r>
        <r>
          <rPr>
            <sz val="8"/>
            <color indexed="10"/>
            <rFont val="Tahoma"/>
            <family val="2"/>
          </rPr>
          <t>a2</t>
        </r>
        <r>
          <rPr>
            <sz val="8"/>
            <rFont val="Tahoma"/>
            <family val="0"/>
          </rPr>
          <t xml:space="preserve"> are introduced mainly to divide the very complex formula in managable pieces, but </t>
        </r>
        <r>
          <rPr>
            <sz val="8"/>
            <color indexed="10"/>
            <rFont val="Tahoma"/>
            <family val="2"/>
          </rPr>
          <t>a1</t>
        </r>
        <r>
          <rPr>
            <sz val="8"/>
            <rFont val="Tahoma"/>
            <family val="0"/>
          </rPr>
          <t xml:space="preserve"> and </t>
        </r>
        <r>
          <rPr>
            <sz val="8"/>
            <color indexed="10"/>
            <rFont val="Tahoma"/>
            <family val="2"/>
          </rPr>
          <t>a2</t>
        </r>
        <r>
          <rPr>
            <sz val="8"/>
            <rFont val="Tahoma"/>
            <family val="0"/>
          </rPr>
          <t xml:space="preserve"> may be interpreted in terms of variances and covariances and their quotient in terms of genetic correlations. See Explanations for more detail.</t>
        </r>
      </text>
    </comment>
    <comment ref="L22" authorId="1">
      <text>
        <r>
          <rPr>
            <sz val="8"/>
            <rFont val="Tahoma"/>
            <family val="0"/>
          </rPr>
          <t>Predicted gain in the mature (goal) character.</t>
        </r>
      </text>
    </comment>
    <comment ref="L26" authorId="1">
      <text>
        <r>
          <rPr>
            <sz val="8"/>
            <rFont val="Tahoma"/>
            <family val="0"/>
          </rPr>
          <t>This is the correlation between the breeding value (additive genetic value) and the index used for estimating it. The gain is proportional to this correlation.</t>
        </r>
      </text>
    </comment>
    <comment ref="N25" authorId="1">
      <text>
        <r>
          <rPr>
            <sz val="8"/>
            <rFont val="Tahoma"/>
            <family val="0"/>
          </rPr>
          <t>This is "effective size", thus status number. If parents are unrelated and non inbred, this equals nr of selected parents.</t>
        </r>
      </text>
    </comment>
    <comment ref="N26" authorId="1">
      <text>
        <r>
          <rPr>
            <sz val="8"/>
            <rFont val="Tahoma"/>
            <family val="0"/>
          </rPr>
          <t>Group coancestry (average relationship)</t>
        </r>
      </text>
    </comment>
    <comment ref="N27" authorId="1">
      <text>
        <r>
          <rPr>
            <sz val="8"/>
            <rFont val="Tahoma"/>
            <family val="0"/>
          </rPr>
          <t>Number of selections</t>
        </r>
      </text>
    </comment>
    <comment ref="N39" authorId="1">
      <text>
        <r>
          <rPr>
            <sz val="8"/>
            <rFont val="Tahoma"/>
            <family val="0"/>
          </rPr>
          <t>Number of selections</t>
        </r>
      </text>
    </comment>
    <comment ref="D70" authorId="1">
      <text>
        <r>
          <rPr>
            <sz val="8"/>
            <rFont val="Tahoma"/>
            <family val="0"/>
          </rPr>
          <t>This is the selection intensity for the infinite case, it is used for calculating the variance (C72)</t>
        </r>
      </text>
    </comment>
    <comment ref="N35" authorId="1">
      <text>
        <r>
          <rPr>
            <sz val="8"/>
            <rFont val="Tahoma"/>
            <family val="0"/>
          </rPr>
          <t>This is "effective size", thus status number. If parents are unrelated and non inbred, this equals nr of selected parents.</t>
        </r>
      </text>
    </comment>
    <comment ref="N36" authorId="1">
      <text>
        <r>
          <rPr>
            <sz val="8"/>
            <rFont val="Tahoma"/>
            <family val="0"/>
          </rPr>
          <t>Group coancestry (average relationship)</t>
        </r>
      </text>
    </comment>
    <comment ref="N48" authorId="1">
      <text>
        <r>
          <rPr>
            <sz val="8"/>
            <rFont val="Tahoma"/>
            <family val="0"/>
          </rPr>
          <t>This is "effective size", thus status number. If parents are unrelated and non inbred, this equals nr of selected parents.</t>
        </r>
      </text>
    </comment>
    <comment ref="N49" authorId="1">
      <text>
        <r>
          <rPr>
            <sz val="8"/>
            <rFont val="Tahoma"/>
            <family val="0"/>
          </rPr>
          <t>Group coancestry (average relationship)</t>
        </r>
      </text>
    </comment>
    <comment ref="N50" authorId="1">
      <text>
        <r>
          <rPr>
            <sz val="8"/>
            <rFont val="Tahoma"/>
            <family val="0"/>
          </rPr>
          <t>Number of selections</t>
        </r>
      </text>
    </comment>
    <comment ref="N60" authorId="1">
      <text>
        <r>
          <rPr>
            <sz val="8"/>
            <rFont val="Tahoma"/>
            <family val="0"/>
          </rPr>
          <t>Number of selections</t>
        </r>
      </text>
    </comment>
    <comment ref="D71" authorId="1">
      <text>
        <r>
          <rPr>
            <sz val="8"/>
            <rFont val="Tahoma"/>
            <family val="0"/>
          </rPr>
          <t>This is with infinity assumption</t>
        </r>
      </text>
    </comment>
    <comment ref="J35" authorId="1">
      <text>
        <r>
          <rPr>
            <sz val="8"/>
            <rFont val="Tahoma"/>
            <family val="0"/>
          </rPr>
          <t>This is a selection intensity. How it is formed is seen to the left and how it is used is seen to the right</t>
        </r>
      </text>
    </comment>
    <comment ref="J38" authorId="1">
      <text>
        <r>
          <rPr>
            <sz val="8"/>
            <rFont val="Tahoma"/>
            <family val="0"/>
          </rPr>
          <t>This is a selection intensity. How it is formed is seen to the left and how it is used is seen to the right</t>
        </r>
      </text>
    </comment>
    <comment ref="J50" authorId="1">
      <text>
        <r>
          <rPr>
            <sz val="8"/>
            <rFont val="Tahoma"/>
            <family val="0"/>
          </rPr>
          <t>This is a selection intensity. How it is formed is seen to the left and how it is used is seen to the right</t>
        </r>
      </text>
    </comment>
    <comment ref="J47" authorId="1">
      <text>
        <r>
          <rPr>
            <sz val="8"/>
            <rFont val="Tahoma"/>
            <family val="0"/>
          </rPr>
          <t>This is a selection intensity. How it is formed is seen in the row to the left and how it is used is seen in the column to the right</t>
        </r>
      </text>
    </comment>
    <comment ref="J58" authorId="1">
      <text>
        <r>
          <rPr>
            <sz val="8"/>
            <rFont val="Tahoma"/>
            <family val="0"/>
          </rPr>
          <t>This is a selection intensity. How it is formed is seen in the row to the left and how it is used is seen in the column to the right</t>
        </r>
      </text>
    </comment>
    <comment ref="K5" authorId="1">
      <text>
        <r>
          <rPr>
            <sz val="8"/>
            <rFont val="Tahoma"/>
            <family val="0"/>
          </rPr>
          <t>There is no function rY, but there is a macro rg(age) which can be called upon, thus rg and rY may be seen as synonyms</t>
        </r>
      </text>
    </comment>
    <comment ref="B2" authorId="2">
      <text>
        <r>
          <rPr>
            <sz val="8"/>
            <rFont val="Tahoma"/>
            <family val="2"/>
          </rPr>
          <t xml:space="preserve">A good start could be to read the introduction in the sheet </t>
        </r>
        <r>
          <rPr>
            <b/>
            <sz val="8"/>
            <rFont val="Tahoma"/>
            <family val="2"/>
          </rPr>
          <t>explanations</t>
        </r>
        <r>
          <rPr>
            <sz val="8"/>
            <rFont val="Tahoma"/>
            <family val="2"/>
          </rPr>
          <t xml:space="preserve">. 
If you want a better overview of the explanatory boxes you may zoom out or move the center of view.
</t>
        </r>
        <r>
          <rPr>
            <sz val="8"/>
            <color indexed="14"/>
            <rFont val="Tahoma"/>
            <family val="2"/>
          </rPr>
          <t xml:space="preserve">
</t>
        </r>
        <r>
          <rPr>
            <sz val="8"/>
            <rFont val="Tahoma"/>
            <family val="2"/>
          </rPr>
          <t xml:space="preserve">
Do not be very afraid of destroying the workbook by changing it in an uproper way, you can always download a fresh copy! If trouble occur, look into trouble.
Much information is given in comments whcih become visible when the cursor is moved over the relevant cell.
</t>
        </r>
        <r>
          <rPr>
            <sz val="8"/>
            <color indexed="16"/>
            <rFont val="Tahoma"/>
            <family val="2"/>
          </rPr>
          <t xml:space="preserve">o get an overview of the simulator's structure, zoom out the sheet to make certain you see all of it, and check what is in the other sheets. 
</t>
        </r>
        <r>
          <rPr>
            <sz val="8"/>
            <rFont val="Tahoma"/>
            <family val="2"/>
          </rPr>
          <t xml:space="preserve">It is useful to study the comments given to specific cells
Most explanations are given as comments like this, but there are documents and formulas and explanations attached also in the workbook, look into worksheets like Intro&amp;Aim&amp;Formulae.
</t>
        </r>
      </text>
    </comment>
    <comment ref="C3" authorId="1">
      <text>
        <r>
          <rPr>
            <b/>
            <sz val="8"/>
            <color indexed="10"/>
            <rFont val="Tahoma"/>
            <family val="2"/>
          </rPr>
          <t xml:space="preserve">The main aim of the sheet is to compare different ways of setting up seed orchards, or clonal mixtures.
Formulas may be used  for many other purposes also
This can be seen as a "linear" simulator, starting with selection of plus trees and ending with establishment of the production population.
It can be used for optimisation in cominations with trial and error or "Solver".
</t>
        </r>
      </text>
    </comment>
    <comment ref="D3" authorId="1">
      <text>
        <r>
          <rPr>
            <b/>
            <sz val="10"/>
            <rFont val="Tahoma"/>
            <family val="2"/>
          </rPr>
          <t xml:space="preserve">Assumptions general for this workbook
</t>
        </r>
        <r>
          <rPr>
            <sz val="8"/>
            <rFont val="Tahoma"/>
            <family val="0"/>
          </rPr>
          <t xml:space="preserve">
Initial trees are in genetic equilibirum (origin from the same population)
Pollen contamination (gene flow from sourrounding) will not be considered in this workbook.
All trees are equally reproductively successful in seed orchards
- three sources of variance are considered: additive, dominance and environmental.
- one test site (i.e. no G x E interaction).
- no C-effects (e.g. maternal or cloning effects).
- average breeding value of founders is 100% (or, differetnly expressed, 0) 
- the reduction of variation by selection is not fully accounted for, the effect is probably minor.
- the goal character is known and the correlation  (in the full population) between it and observation character is known and here described as J-M correlation 
Trees are related only as sibs if they belong to the same family.
Some of these simplifications are unimportant, some can be relaxed, for some it is possible to extend the theory to more general conditions.</t>
        </r>
      </text>
    </comment>
    <comment ref="E3" authorId="1">
      <text>
        <r>
          <rPr>
            <sz val="8"/>
            <color indexed="10"/>
            <rFont val="Tahoma"/>
            <family val="2"/>
          </rPr>
          <t>The initial settings</t>
        </r>
        <r>
          <rPr>
            <sz val="8"/>
            <rFont val="Tahoma"/>
            <family val="0"/>
          </rPr>
          <t xml:space="preserve"> (i.e. the settings present on the web)  usually </t>
        </r>
        <r>
          <rPr>
            <sz val="8"/>
            <color indexed="10"/>
            <rFont val="Tahoma"/>
            <family val="2"/>
          </rPr>
          <t>carry messages.</t>
        </r>
        <r>
          <rPr>
            <sz val="8"/>
            <rFont val="Tahoma"/>
            <family val="0"/>
          </rPr>
          <t xml:space="preserve"> The intention is that the initial settings should be reasonable and in the same time should result in similar costs and status number for the alternatives.</t>
        </r>
      </text>
    </comment>
    <comment ref="F3" authorId="1">
      <text>
        <r>
          <rPr>
            <b/>
            <sz val="8"/>
            <color indexed="14"/>
            <rFont val="Tahoma"/>
            <family val="2"/>
          </rPr>
          <t>Downloading</t>
        </r>
        <r>
          <rPr>
            <sz val="8"/>
            <rFont val="Tahoma"/>
            <family val="0"/>
          </rPr>
          <t xml:space="preserve">
On my web-browser, when you point at a link, which will leads to a file, right-click and when select "Save Target As ..." to download. On some modems downloading may be too slow.
</t>
        </r>
        <r>
          <rPr>
            <b/>
            <sz val="8"/>
            <color indexed="14"/>
            <rFont val="Tahoma"/>
            <family val="2"/>
          </rPr>
          <t>Macros</t>
        </r>
        <r>
          <rPr>
            <sz val="8"/>
            <rFont val="Tahoma"/>
            <family val="0"/>
          </rPr>
          <t xml:space="preserve">
Macros must be enabled to run the worksheets. A reason for the appearance of NAME? is that the macros do not work. When importing EXCEL sheets, macros must be enabled. It seems to be a function in EXCEL Tools - Macro - Security, which can switch off "unsigned non authorized" macros, if this happens this security feature must adapted to the need of running these macros.</t>
        </r>
      </text>
    </comment>
    <comment ref="G3" authorId="1">
      <text>
        <r>
          <rPr>
            <sz val="8"/>
            <rFont val="Tahoma"/>
            <family val="0"/>
          </rPr>
          <t>If cells do not show numbers, it can be as you inserted an unreasonable value. Or it may just not be space enough for the value.
The macros may not be enabled.
 You may look at the wrong place of the sheet.</t>
        </r>
      </text>
    </comment>
    <comment ref="K3" authorId="1">
      <text>
        <r>
          <rPr>
            <sz val="8"/>
            <rFont val="Tahoma"/>
            <family val="0"/>
          </rPr>
          <t>This simulator was developed by Dag Lindgren (dag.lindgren@genfys.slu.se). The main job was made in the late 90ies.  The last edits to this workbook were done in October 2002. The current version was made in MS EXCEL 2000 for Windows.</t>
        </r>
      </text>
    </comment>
    <comment ref="L3" authorId="1">
      <text>
        <r>
          <rPr>
            <b/>
            <sz val="8"/>
            <color indexed="14"/>
            <rFont val="Tahoma"/>
            <family val="2"/>
          </rPr>
          <t>Formula presentation</t>
        </r>
        <r>
          <rPr>
            <sz val="8"/>
            <rFont val="Tahoma"/>
            <family val="0"/>
          </rPr>
          <t xml:space="preserve">
The intention is to present formulas twice, once in a comment in the cells, which are derived from the formulas, and another time in  an explanation sheet
For the cell comments formulas (for convenience) are in an abbreviated form.
Formulas in cells can be read directly but that is difficult to follow
There is no equal sign and no left part (often the symbol can be found in the column or row heading). 
sA2  is ommitted as it is = 1. Note that the formula for gain used here usually is
i(NMo,N) (e.g.) reads selection intensity when selecting the best mothers among the initial trees.
The formulas in the explanation sheet is currently presented in an imbedded word document on this sheet. Sometimes during development it may be moved to another sheet.
To insert formulas makes it easier to check the worksheet and also easier to use the work sheet as a type of formula collection.</t>
        </r>
      </text>
    </comment>
    <comment ref="L2" authorId="1">
      <text>
        <r>
          <rPr>
            <b/>
            <sz val="8"/>
            <color indexed="17"/>
            <rFont val="Tahoma"/>
            <family val="2"/>
          </rPr>
          <t>Macros</t>
        </r>
        <r>
          <rPr>
            <sz val="8"/>
            <rFont val="Tahoma"/>
            <family val="0"/>
          </rPr>
          <t xml:space="preserve">
Macros must be enabled to run the worksheets. A reason for the appearance of NAME? is that the macros do not work. When importing EXCEL sheets, macros must be enabled. It seems to be a function in EXCEL Tools - Macro - Security, which can switch off "unsigned non authorized" macros, if this happens this security feature must adapted to the need of running these macros.
</t>
        </r>
        <r>
          <rPr>
            <b/>
            <sz val="8"/>
            <color indexed="17"/>
            <rFont val="Tahoma"/>
            <family val="2"/>
          </rPr>
          <t>Program development</t>
        </r>
        <r>
          <rPr>
            <sz val="8"/>
            <rFont val="Tahoma"/>
            <family val="0"/>
          </rPr>
          <t xml:space="preserve">
Programs may have their evolution. Some programs will be further developed. A recently created file is rather likely to be the object for improvement and a new version may appear. Old EXCEL-files are not likely to change or be severely wrong. Many of them could be improved (management of non actual programs is not considered a major task for me), but when it is likely to be as quite new programs. We often keep older versions available (it is also a service for those who do not use updated computer systems). 
</t>
        </r>
        <r>
          <rPr>
            <b/>
            <sz val="8"/>
            <color indexed="17"/>
            <rFont val="Tahoma"/>
            <family val="2"/>
          </rPr>
          <t>Computer peculiarities</t>
        </r>
        <r>
          <rPr>
            <sz val="8"/>
            <rFont val="Tahoma"/>
            <family val="0"/>
          </rPr>
          <t xml:space="preserve">
Much of what occurs on your screen is related to your local circumstances and settings, and thus not controlled by me. How the texts appear on screen may be up to your computer settings. Often the font used is just the default. Non-Latin characters (e.g. the Swedish letters and many Greek symbols) may vanish or appear odd. The screen size, screen setting and magnification are factors which partly depend on your own settings or circumstances, but matters for how your view appears. You may, especially at first glance, find it annoying that too much information is available, and that you can find more things both rightwards and downwards. To get an overview, you can try a lower magnification percentage. To widen columns may sometimes help when the cell is not readable. MS equation editor has been used for explanatory reasons (to understand a formula by the references in a cell is difficult), but many computers have not this facility installed, and if so you may only see empty boxes.
</t>
        </r>
        <r>
          <rPr>
            <b/>
            <sz val="8"/>
            <color indexed="17"/>
            <rFont val="Tahoma"/>
            <family val="2"/>
          </rPr>
          <t>Copyright</t>
        </r>
        <r>
          <rPr>
            <sz val="8"/>
            <rFont val="Tahoma"/>
            <family val="0"/>
          </rPr>
          <t xml:space="preserve">
We allow the user of this EXCEL work book copying, using, developing, changing or extracting from the files. We do not give up the formal copyright if we own it, but we promise this will not cause trouble for any reasonable and foreseeable use. You are welcome to deal with the information as it was free-wear. 
</t>
        </r>
        <r>
          <rPr>
            <b/>
            <sz val="8"/>
            <color indexed="17"/>
            <rFont val="Tahoma"/>
            <family val="2"/>
          </rPr>
          <t>Mistakes</t>
        </r>
        <r>
          <rPr>
            <sz val="8"/>
            <rFont val="Tahoma"/>
            <family val="0"/>
          </rPr>
          <t xml:space="preserve">
We often make mistakes, thus some formulas or interpretations may be erroneous. Please focus my attention if you suspect this may be the case in a special situation! Some mistakes we detect ourself. Thus, mistakes are more likely in a recently introduced feature, than in one which has existed for a long time. Thus, be more conservative against innovations and check sometimes if there are new versions.
</t>
        </r>
        <r>
          <rPr>
            <b/>
            <sz val="8"/>
            <color indexed="17"/>
            <rFont val="Tahoma"/>
            <family val="2"/>
          </rPr>
          <t>Disclaimer</t>
        </r>
        <r>
          <rPr>
            <sz val="8"/>
            <rFont val="Tahoma"/>
            <family val="0"/>
          </rPr>
          <t xml:space="preserve">
I do not accept any formal or legal responsibility for anything, which may happen if you use this workbook or let the suggested values or information lead your decisions. My sincere guess is, however, that such use will not cause the end of your world.
</t>
        </r>
        <r>
          <rPr>
            <b/>
            <sz val="8"/>
            <color indexed="17"/>
            <rFont val="Tahoma"/>
            <family val="2"/>
          </rPr>
          <t>Genetic particulars</t>
        </r>
        <r>
          <rPr>
            <sz val="8"/>
            <rFont val="Tahoma"/>
            <family val="0"/>
          </rPr>
          <t xml:space="preserve">
Usually only a single character on a single site is considered. This "character" can, however, be an index considering several characters, sites and tests, so this is not as severe constraint, as it may appear at first sight.
</t>
        </r>
        <r>
          <rPr>
            <b/>
            <sz val="8"/>
            <color indexed="17"/>
            <rFont val="Tahoma"/>
            <family val="2"/>
          </rPr>
          <t>Difficulties??</t>
        </r>
        <r>
          <rPr>
            <sz val="8"/>
            <rFont val="Tahoma"/>
            <family val="0"/>
          </rPr>
          <t xml:space="preserve">
If you find it difficult and time-consuming to use our programmes, that certainly is a feeling you share with many others. I appreciate feed back, preferable by E-mail. I may try to help you. If there is something particular you do not understand, I will probably remain unaware of the difficulty or mistake, if someone do not tell me. It is much too easy to be misleading or to make mistakes! To improve transparency, user contacts are extremely valuable. It would be nice to know to what extent people outside my known collaborators find this development of genetic worksheets a valuable service.
Most of our EXCEL sheets use macros, thus do not unable macros!
  Your machine may not be compatible with the modern EXCEL versions or does not work with my files for some other reason. Do not give up understanding too soon! Did you look at all explaining text? Maybe you are in the wrong sheet in the workbook? Clicking at the bottom menu changes sheets! Or you may not have looked at the right place of the sheet; you may be able to see only a part of the sheet, in particular if you have a small screen or a high magnification setting (you can change the magnification yourself). You may miss something important, if you do not search over the whole sheet. There may be more information elsewhere, so try some trial and error before quitting!
  If you change cells meant for output, that harms the function of the workbook. Usually nothing prevents you from inserting "impossible" entries. A common reason for odd, not interpretable or no results is that an unreasonable value has been entered. You can insert big values or get output with many digits, resulting in confusing symbols on the screen in spite of that everything actually works and you can see the results if you widen the columns. Language settings may cause problems; e.g. EXCEL in Swedish setting does not recognise decimal points (program developers often do not comprehend all type of problems encountered by different flavours of the majority of the world which is not English).
  One useful question when you get a result, which does not appeal to you, is if you have addressed the right question. A common mistake is to get the right answer on the wrong question. Also you may sometimes distrust your intuition. Sometimes I have found that results I regarded as contra-intuitive were right, and when I learned something.
</t>
        </r>
        <r>
          <rPr>
            <b/>
            <sz val="8"/>
            <color indexed="17"/>
            <rFont val="Tahoma"/>
            <family val="2"/>
          </rPr>
          <t>Why EXCEL?</t>
        </r>
        <r>
          <rPr>
            <sz val="8"/>
            <rFont val="Tahoma"/>
            <family val="0"/>
          </rPr>
          <t xml:space="preserve">
EXCEL is available on many computers all over the world and most forest tree breeders and forest geneticists are able to use it, so I guessed the best way to create generally available tools was to use EXCEL. 
The EXCEL (.XLS) files were mostly developed as workbooks for Windows. The sheets often also contains insertions, e.g. from MS Word or MS Equation, these are not essential for the function, but may be relevant for the understanding. A Mac may add to these transcription problems (we use MS). In mid November 97 we started using EXCEL in 97 years version. New programs and updated versions of the old are made in 97 version of EXCEL, but old versions are sometimes kept on the site for some time.
I guess the EXCEL work books can be helpful if you adapt them to own problems, even in the case you can not use the worksheets as they are organised. If you understand how the worksheets work, you may extend or fine-tune them to your own problem; they may serve as useful templates for further development. They are also intended to serve a pedagogical purpose; they offer a way to understand concepts I feel important. They may even serve as collections of relevant formulas.
</t>
        </r>
      </text>
    </comment>
    <comment ref="N3" authorId="1">
      <text>
        <r>
          <rPr>
            <sz val="8"/>
            <rFont val="Tahoma"/>
            <family val="0"/>
          </rPr>
          <t>Helpful comments in constructing this workbook has been obtained from many persons during the time. Through the last years can be mentioned Jianguo Cui, Milan Lstiburek and Ola Rosvall.</t>
        </r>
      </text>
    </comment>
    <comment ref="O3" authorId="1">
      <text>
        <r>
          <rPr>
            <sz val="8"/>
            <rFont val="Tahoma"/>
            <family val="0"/>
          </rPr>
          <t>There is no testing of genotypes assumed, but in the related alternative the families can be regarded as tested</t>
        </r>
      </text>
    </comment>
    <comment ref="J3" authorId="1">
      <text>
        <r>
          <rPr>
            <b/>
            <sz val="8"/>
            <rFont val="Tahoma"/>
            <family val="0"/>
          </rPr>
          <t>Cost components may be as important considerations as genetic variance components. The cost is specified in different components, an initial component and costs which depend on the number of plants and number of parents.
You get the costs of different alternatives
One way of comparing alternatives is to keep cost constant.</t>
        </r>
      </text>
    </comment>
    <comment ref="P3" authorId="1">
      <text>
        <r>
          <rPr>
            <sz val="8"/>
            <rFont val="Tahoma"/>
            <family val="0"/>
          </rPr>
          <t xml:space="preserve">
Changes in the worksheet which affect the results were done in October 2002. Some results earlier may be misleading.
The changed cells with formulas or values are indicated by dotted background in hte concerned cells.
The changes are as follows
Alternative 3, adjustment for unimproved fathers
 S31:T38 were corrected 
L38 become 1 instead of 0.1 as it is relative to mature variation and not absolute
In all alternatives the figure and the age dependence was not based on selection intensity. This means changes in S19; S28; S38; S50; S61</t>
        </r>
      </text>
    </comment>
    <comment ref="H3" authorId="1">
      <text>
        <r>
          <rPr>
            <b/>
            <sz val="8"/>
            <rFont val="Tahoma"/>
            <family val="0"/>
          </rPr>
          <t>Dag Lindgren:</t>
        </r>
        <r>
          <rPr>
            <sz val="8"/>
            <rFont val="Tahoma"/>
            <family val="0"/>
          </rPr>
          <t xml:space="preserve">
From JianGuo I got the following message 02-10-04
For Alt3 (for forward selection based on OP progeny when seeds are
collected from wild forest) in GAINPRED_ADVACED_2002, the gain should be
adjusted by subtracting half the plus tree gain. I don't think the
adjustment in Cell S36 is right. I think it should not be adjusted here,
that means the formula in this cell should be (L$34+L$37)*L$6 instead of
(L$34+L$37-O$36/2)*L$6. It shoud be adjusted from Cell T29 to T35 like what
have been done in those cells. I'm not sure if the value in cell O36 is in
absolute scale or in unit of sAM . If it is absolute value, I don't think
the adjustment is reasonable because the values in from cell S29 to S35 is
in unit of sAM.
I think he is correct, and I have changed accordingly with rather important results</t>
        </r>
      </text>
    </comment>
    <comment ref="N2" authorId="1">
      <text>
        <r>
          <rPr>
            <b/>
            <sz val="8"/>
            <color indexed="14"/>
            <rFont val="Tahoma"/>
            <family val="2"/>
          </rPr>
          <t>Constraints</t>
        </r>
        <r>
          <rPr>
            <sz val="8"/>
            <rFont val="Tahoma"/>
            <family val="0"/>
          </rPr>
          <t xml:space="preserve">
Only SPM (single pair matings) are considered as alternative comprising full sib families. Either a family is not represented at all among the selections, or it is represented by a fixed number of individuals. 
No considerations about genotype*environment interaction or number of test localities or range to use the material has been made. The predicting formulas refer to the case where the improved material is spread out over an area where input are valid. The effect of genotype-environment interaction if one goes from the parameters of a single site to real forestry over an area could be considered by assigning R a smaller value than 1.
Gain is expressed in a single character (although that character may be a combined index including many characters). 
No "after-effects" has been considered, this probably considerably overestimates the gain aschieved by progeny-test based on wind-pollination in the forest. Cloning has been assumed not to change the performance or induce an extra variation, this is probably not true, but it would be difficult to express in formulas or figures.
Note that in a real seed orchard will inbreeding occur. This has not been considered. In a real seed orchard gain can be boosted by using more ramets of better clones, this is not considered</t>
        </r>
      </text>
    </comment>
    <comment ref="I3" authorId="1">
      <text>
        <r>
          <rPr>
            <sz val="8"/>
            <rFont val="Tahoma"/>
            <family val="0"/>
          </rPr>
          <t>Genetic gains may be expressed in "absolute" units like cms or % of experimental averages. They may also be expressed in relative units be keeping the additive genetic standard deviation the unit, 1. In the initial settings they are put to 1, and can thus function as relative measures.
If an absolute scale is used, it is best to have percent of the average, thus 10 means that additive genetic variance is 10 percent of the average.</t>
        </r>
      </text>
    </comment>
    <comment ref="D23" authorId="1">
      <text>
        <r>
          <rPr>
            <sz val="8"/>
            <rFont val="Tahoma"/>
            <family val="0"/>
          </rPr>
          <t xml:space="preserve">This is the number of plants in a full-sib family.
Suggested initial setting is </t>
        </r>
        <r>
          <rPr>
            <sz val="8"/>
            <color indexed="10"/>
            <rFont val="Tahoma"/>
            <family val="2"/>
          </rPr>
          <t>25</t>
        </r>
      </text>
    </comment>
    <comment ref="D25" authorId="1">
      <text>
        <r>
          <rPr>
            <sz val="8"/>
            <rFont val="Tahoma"/>
            <family val="0"/>
          </rPr>
          <t xml:space="preserve">The number of selected parents based on the progeny test.
Suggested initial setting is </t>
        </r>
        <r>
          <rPr>
            <sz val="8"/>
            <color indexed="10"/>
            <rFont val="Tahoma"/>
            <family val="2"/>
          </rPr>
          <t>20</t>
        </r>
      </text>
    </comment>
    <comment ref="H25" authorId="1">
      <text>
        <r>
          <rPr>
            <sz val="8"/>
            <rFont val="Tahoma"/>
            <family val="0"/>
          </rPr>
          <t xml:space="preserve">The number of candidate  parents (often plus tree genotypes) available for selection.
Suggested initial setting is </t>
        </r>
        <r>
          <rPr>
            <sz val="8"/>
            <color indexed="10"/>
            <rFont val="Tahoma"/>
            <family val="2"/>
          </rPr>
          <t>200</t>
        </r>
      </text>
    </comment>
    <comment ref="P2" authorId="1">
      <text>
        <r>
          <rPr>
            <b/>
            <sz val="8"/>
            <rFont val="Tahoma"/>
            <family val="0"/>
          </rPr>
          <t>Dag Lindgren:</t>
        </r>
        <r>
          <rPr>
            <sz val="8"/>
            <rFont val="Tahoma"/>
            <family val="0"/>
          </rPr>
          <t xml:space="preserve">
Divide the sheet in a separate part for breeding value expressed as % of the unimproved value of the production and another part there it is expressed as percent of mature additive sd.</t>
        </r>
      </text>
    </comment>
    <comment ref="B30" authorId="1">
      <text>
        <r>
          <rPr>
            <sz val="8"/>
            <rFont val="Tahoma"/>
            <family val="0"/>
          </rPr>
          <t>Alternative 3
The founders are selections in the forest, and in some way half sib families (with an assumed large number of unrelated fathers) are created.
 This can be done e.g. by wind-pollination in the forest or polycross in a clonal archieve. The half sib families are ranked based on their performance. From the better half sib families, selections are made.</t>
        </r>
      </text>
    </comment>
    <comment ref="B42" authorId="1">
      <text>
        <r>
          <rPr>
            <sz val="8"/>
            <rFont val="Tahoma"/>
            <family val="0"/>
          </rPr>
          <t>Alternative 4
The founders are crossed pairwise (single pair mating). The offspring is tested. The option exists to clone the offspring (choose n&gt;1) before testing. The test is evaluated and genotypes are selected. First the top ranking families are identified, and when the top ranking genotypes within these families are selected.</t>
        </r>
      </text>
    </comment>
    <comment ref="B54" authorId="1">
      <text>
        <r>
          <rPr>
            <sz val="8"/>
            <rFont val="Tahoma"/>
            <family val="0"/>
          </rPr>
          <t xml:space="preserve">Alternative 5
The founders are vegetatively propagated (cloned). Then the founders are ranked based on the performance of the clones.
</t>
        </r>
      </text>
    </comment>
  </commentList>
</comments>
</file>

<file path=xl/comments4.xml><?xml version="1.0" encoding="utf-8"?>
<comments xmlns="http://schemas.openxmlformats.org/spreadsheetml/2006/main">
  <authors>
    <author>ALICE HATCHER</author>
    <author>Dag Lindgren</author>
    <author>Darius Danusevius</author>
  </authors>
  <commentList>
    <comment ref="C7" authorId="0">
      <text>
        <r>
          <rPr>
            <sz val="10"/>
            <rFont val="Tahoma"/>
            <family val="2"/>
          </rPr>
          <t xml:space="preserve">refers to variance components of the </t>
        </r>
        <r>
          <rPr>
            <i/>
            <sz val="10"/>
            <rFont val="Tahoma"/>
            <family val="2"/>
          </rPr>
          <t>observed</t>
        </r>
        <r>
          <rPr>
            <sz val="10"/>
            <rFont val="Tahoma"/>
            <family val="2"/>
          </rPr>
          <t xml:space="preserve"> (measurement) character (or index)</t>
        </r>
      </text>
    </comment>
    <comment ref="K8" authorId="0">
      <text>
        <r>
          <rPr>
            <sz val="10"/>
            <rFont val="Tahoma"/>
            <family val="2"/>
          </rPr>
          <t>standard deviation of goal character (mature age)</t>
        </r>
      </text>
    </comment>
    <comment ref="L8" authorId="1">
      <text>
        <r>
          <rPr>
            <sz val="8"/>
            <rFont val="Tahoma"/>
            <family val="0"/>
          </rPr>
          <t>The genetic gain may be measured related to this unit or in % of the average of the selections. The gains below use both methods, for the later it is needed to know this value.
Percent of the average is used, thus 10 here means that s d of additive genetic variance is 10 percent of the average.</t>
        </r>
      </text>
    </comment>
    <comment ref="O4" authorId="1">
      <text>
        <r>
          <rPr>
            <b/>
            <sz val="8"/>
            <rFont val="Tahoma"/>
            <family val="0"/>
          </rPr>
          <t>Cost components may be as important considerations as genetic variance components. The cost is specified in different components, an initial component and costs which depend on the number of plants and number of parents.
You get the costs of different alternatives
One way of comparing alternatives is to keep cost constant.</t>
        </r>
      </text>
    </comment>
    <comment ref="J5" authorId="1">
      <text>
        <r>
          <rPr>
            <sz val="8"/>
            <rFont val="Tahoma"/>
            <family val="2"/>
          </rPr>
          <t>It is suggested to keep Q=,1 if you are not familiar with its meaning. Q is useful when options considers different selection ages. When Q is the fraction of rotation time at which experiments are evaluated and used as an entry to get juvenile-mature correlation. But if just the gain under the conditions of selection (including age) are wanted Q should be kept at 1.</t>
        </r>
      </text>
    </comment>
    <comment ref="O58" authorId="1">
      <text>
        <r>
          <rPr>
            <sz val="8"/>
            <rFont val="Tahoma"/>
            <family val="0"/>
          </rPr>
          <t xml:space="preserve">The cost per clone= cost per parent
</t>
        </r>
      </text>
    </comment>
    <comment ref="L57" authorId="1">
      <text>
        <r>
          <rPr>
            <b/>
            <sz val="8"/>
            <rFont val="Tahoma"/>
            <family val="0"/>
          </rPr>
          <t>Note that this is gain in breeding value, thus what you get if you put the clones into a seed orchard</t>
        </r>
      </text>
    </comment>
    <comment ref="F7" authorId="1">
      <text>
        <r>
          <rPr>
            <sz val="8"/>
            <rFont val="Tahoma"/>
            <family val="2"/>
          </rPr>
          <t>Additive variance, it is often convenient to keep this constant at 1</t>
        </r>
      </text>
    </comment>
    <comment ref="H7" authorId="1">
      <text>
        <r>
          <rPr>
            <sz val="8"/>
            <rFont val="Tahoma"/>
            <family val="2"/>
          </rPr>
          <t>Dominance variance
A suggested relevant typical value may be 25% of the additive variance. But this may vary with the circumstances.</t>
        </r>
      </text>
    </comment>
    <comment ref="J7" authorId="1">
      <text>
        <r>
          <rPr>
            <sz val="8"/>
            <rFont val="Tahoma"/>
            <family val="2"/>
          </rPr>
          <t>Environmental variance. It could be convenient to give it a value so heritability becomes an even number.</t>
        </r>
      </text>
    </comment>
    <comment ref="L7" authorId="1">
      <text>
        <r>
          <rPr>
            <sz val="8"/>
            <rFont val="Tahoma"/>
            <family val="2"/>
          </rPr>
          <t>Total variance among trees  (thus the sum of additive, dominance and environmental)</t>
        </r>
      </text>
    </comment>
    <comment ref="F9" authorId="1">
      <text>
        <r>
          <rPr>
            <sz val="8"/>
            <rFont val="Tahoma"/>
            <family val="2"/>
          </rPr>
          <t>Heritability in narrow sense</t>
        </r>
      </text>
    </comment>
    <comment ref="H9" authorId="1">
      <text>
        <r>
          <rPr>
            <b/>
            <sz val="8"/>
            <rFont val="Tahoma"/>
            <family val="0"/>
          </rPr>
          <t>Heritability in broad sense</t>
        </r>
      </text>
    </comment>
    <comment ref="L5" authorId="1">
      <text>
        <r>
          <rPr>
            <sz val="8"/>
            <rFont val="Tahoma"/>
            <family val="2"/>
          </rPr>
          <t>Juvenile-mature genetic correlation. This function is enscribed in the Visual Basic code which is a part this workbook as a function r(). It is essentially the formula by Lambeth (1980)
rY=1.02 + 0.308 * Log(Q)
with some adjustment for Q close to 0 or 1.
Other formulas can be inserted instead from the basic code.
Note that the formula was initially developed for phenotypic selections, selection based on breeding values may be more accurate at an early age!</t>
        </r>
      </text>
    </comment>
    <comment ref="Q8" authorId="1">
      <text>
        <r>
          <rPr>
            <b/>
            <sz val="8"/>
            <rFont val="Tahoma"/>
            <family val="0"/>
          </rPr>
          <t>Rotation time</t>
        </r>
      </text>
    </comment>
    <comment ref="G58" authorId="1">
      <text>
        <r>
          <rPr>
            <sz val="8"/>
            <rFont val="Tahoma"/>
            <family val="0"/>
          </rPr>
          <t>ramet number</t>
        </r>
      </text>
    </comment>
    <comment ref="N60" authorId="1">
      <text>
        <r>
          <rPr>
            <sz val="8"/>
            <rFont val="Tahoma"/>
            <family val="0"/>
          </rPr>
          <t>Status number=number of clones selected
(Clones are assumed unrelated and non inbred)</t>
        </r>
      </text>
    </comment>
    <comment ref="N61" authorId="1">
      <text>
        <r>
          <rPr>
            <sz val="8"/>
            <rFont val="Tahoma"/>
            <family val="2"/>
          </rPr>
          <t>Group coancestry corresponding to number of selected clones</t>
        </r>
      </text>
    </comment>
    <comment ref="O6" authorId="1">
      <text>
        <r>
          <rPr>
            <sz val="8"/>
            <rFont val="Tahoma"/>
            <family val="0"/>
          </rPr>
          <t>This is the marginal cost of one additional plant added to the trial. It is suggested that this cost is kept as a unit, thus 1.</t>
        </r>
      </text>
    </comment>
    <comment ref="O5" authorId="1">
      <text>
        <r>
          <rPr>
            <sz val="8"/>
            <rFont val="Tahoma"/>
            <family val="0"/>
          </rPr>
          <t xml:space="preserve">This is an initial cost for setting up the experiment/test, thus a fixed cost. If you do not want to do a very advanced analysis, you may just put this to 0. </t>
        </r>
      </text>
    </comment>
    <comment ref="O7" authorId="1">
      <text>
        <r>
          <rPr>
            <sz val="8"/>
            <rFont val="Tahoma"/>
            <family val="0"/>
          </rPr>
          <t>This is the marginal cost per additional parent</t>
        </r>
      </text>
    </comment>
    <comment ref="D5" authorId="1">
      <text>
        <r>
          <rPr>
            <sz val="8"/>
            <rFont val="Tahoma"/>
            <family val="0"/>
          </rPr>
          <t xml:space="preserve">The </t>
        </r>
        <r>
          <rPr>
            <b/>
            <sz val="8"/>
            <color indexed="10"/>
            <rFont val="Tahoma"/>
            <family val="2"/>
          </rPr>
          <t>red figures with yellow backgound</t>
        </r>
        <r>
          <rPr>
            <sz val="8"/>
            <color indexed="10"/>
            <rFont val="Tahoma"/>
            <family val="2"/>
          </rPr>
          <t xml:space="preserve"> </t>
        </r>
        <r>
          <rPr>
            <sz val="8"/>
            <rFont val="Tahoma"/>
            <family val="0"/>
          </rPr>
          <t>are under costumer control. The inputs which controls this deterministic simulator.</t>
        </r>
      </text>
    </comment>
    <comment ref="F5" authorId="1">
      <text>
        <r>
          <rPr>
            <b/>
            <sz val="8"/>
            <color indexed="12"/>
            <rFont val="Tahoma"/>
            <family val="2"/>
          </rPr>
          <t>Bold values in blue with yellow background</t>
        </r>
        <r>
          <rPr>
            <sz val="8"/>
            <rFont val="Tahoma"/>
            <family val="0"/>
          </rPr>
          <t xml:space="preserve"> are considered main result. Do not change blue values, because when the workbook will not work!</t>
        </r>
      </text>
    </comment>
    <comment ref="G5" authorId="1">
      <text>
        <r>
          <rPr>
            <sz val="8"/>
            <color indexed="12"/>
            <rFont val="Tahoma"/>
            <family val="2"/>
          </rPr>
          <t>Unbolded values in blue</t>
        </r>
        <r>
          <rPr>
            <sz val="8"/>
            <rFont val="Tahoma"/>
            <family val="0"/>
          </rPr>
          <t xml:space="preserve"> are considered minor or intermediary results. Do not change blue values, because when the workbook will not work!</t>
        </r>
      </text>
    </comment>
    <comment ref="E5" authorId="1">
      <text>
        <r>
          <rPr>
            <sz val="8"/>
            <rFont val="Tahoma"/>
            <family val="0"/>
          </rPr>
          <t xml:space="preserve">The </t>
        </r>
        <r>
          <rPr>
            <b/>
            <i/>
            <sz val="8"/>
            <color indexed="10"/>
            <rFont val="Tahoma"/>
            <family val="2"/>
          </rPr>
          <t>red figures in italics</t>
        </r>
        <r>
          <rPr>
            <sz val="8"/>
            <rFont val="Tahoma"/>
            <family val="0"/>
          </rPr>
          <t xml:space="preserve"> are better not to be changed unless you are confident in what you are doing! But once you understand the more sophisticated details of the worksheet you may find it very useful to be able to control these.</t>
        </r>
      </text>
    </comment>
    <comment ref="D14" authorId="1">
      <text>
        <r>
          <rPr>
            <sz val="8"/>
            <rFont val="Tahoma"/>
            <family val="0"/>
          </rPr>
          <t xml:space="preserve">This is the number of plants in a half-sib family.
Suggested initial setting is </t>
        </r>
        <r>
          <rPr>
            <sz val="8"/>
            <color indexed="10"/>
            <rFont val="Tahoma"/>
            <family val="2"/>
          </rPr>
          <t>25</t>
        </r>
      </text>
    </comment>
    <comment ref="D16" authorId="1">
      <text>
        <r>
          <rPr>
            <sz val="8"/>
            <rFont val="Tahoma"/>
            <family val="0"/>
          </rPr>
          <t xml:space="preserve">The number of selected parents based on the progeny test.
Suggested initial setting is </t>
        </r>
        <r>
          <rPr>
            <sz val="8"/>
            <color indexed="10"/>
            <rFont val="Tahoma"/>
            <family val="2"/>
          </rPr>
          <t>20</t>
        </r>
      </text>
    </comment>
    <comment ref="J16" authorId="1">
      <text>
        <r>
          <rPr>
            <sz val="8"/>
            <rFont val="Tahoma"/>
            <family val="0"/>
          </rPr>
          <t>This is a selection intensity</t>
        </r>
      </text>
    </comment>
    <comment ref="N16" authorId="1">
      <text>
        <r>
          <rPr>
            <sz val="8"/>
            <rFont val="Tahoma"/>
            <family val="0"/>
          </rPr>
          <t>This is "effective size", thus status number. If parents are unrelated and non inbred, this equals nr of selected parents.</t>
        </r>
      </text>
    </comment>
    <comment ref="H16" authorId="1">
      <text>
        <r>
          <rPr>
            <sz val="8"/>
            <rFont val="Tahoma"/>
            <family val="0"/>
          </rPr>
          <t xml:space="preserve">The number of candidate  parents (often plus tree genotypes) available for selection.
Suggested initial setting is </t>
        </r>
        <r>
          <rPr>
            <sz val="8"/>
            <color indexed="10"/>
            <rFont val="Tahoma"/>
            <family val="2"/>
          </rPr>
          <t>100</t>
        </r>
      </text>
    </comment>
    <comment ref="N17" authorId="1">
      <text>
        <r>
          <rPr>
            <sz val="8"/>
            <rFont val="Tahoma"/>
            <family val="0"/>
          </rPr>
          <t>Group coancestry (average relationship)</t>
        </r>
      </text>
    </comment>
    <comment ref="L17" authorId="1">
      <text>
        <r>
          <rPr>
            <sz val="8"/>
            <rFont val="Tahoma"/>
            <family val="0"/>
          </rPr>
          <t>This is the correlation between the breeding value (additive genetic value) and the index used for estimating it. The gain is proportional to this correlation.</t>
        </r>
      </text>
    </comment>
    <comment ref="L13" authorId="1">
      <text>
        <r>
          <rPr>
            <sz val="8"/>
            <rFont val="Tahoma"/>
            <family val="0"/>
          </rPr>
          <t>Predicted gain in the mature (goal) character.</t>
        </r>
      </text>
    </comment>
    <comment ref="O14" authorId="1">
      <text>
        <r>
          <rPr>
            <sz val="8"/>
            <rFont val="Tahoma"/>
            <family val="0"/>
          </rPr>
          <t>The cost of the experiment in the cost units given.</t>
        </r>
      </text>
    </comment>
    <comment ref="O13" authorId="1">
      <text>
        <r>
          <rPr>
            <sz val="8"/>
            <rFont val="Tahoma"/>
            <family val="0"/>
          </rPr>
          <t>The number of experimental plants used for the experiment</t>
        </r>
      </text>
    </comment>
    <comment ref="N18" authorId="1">
      <text>
        <r>
          <rPr>
            <sz val="8"/>
            <rFont val="Tahoma"/>
            <family val="0"/>
          </rPr>
          <t>Number of selections</t>
        </r>
      </text>
    </comment>
    <comment ref="N49" authorId="1">
      <text>
        <r>
          <rPr>
            <sz val="8"/>
            <rFont val="Tahoma"/>
            <family val="0"/>
          </rPr>
          <t>Status number per full sib family; =2*s/(1+s); s=selections/family;   (Lindgren et al 1996)</t>
        </r>
      </text>
    </comment>
    <comment ref="S19" authorId="1">
      <text>
        <r>
          <rPr>
            <sz val="8"/>
            <rFont val="Tahoma"/>
            <family val="0"/>
          </rPr>
          <t>This is genetic gain in standard deviations of the mature character if selection made at mature age.</t>
        </r>
      </text>
    </comment>
    <comment ref="Q12" authorId="1">
      <text>
        <r>
          <rPr>
            <sz val="8"/>
            <rFont val="Tahoma"/>
            <family val="0"/>
          </rPr>
          <t>The number of years which has passed since activities were initiated</t>
        </r>
      </text>
    </comment>
    <comment ref="R12" authorId="1">
      <text>
        <r>
          <rPr>
            <sz val="8"/>
            <rFont val="Tahoma"/>
            <family val="0"/>
          </rPr>
          <t>The age at which selections are made as a fraction of rotation age</t>
        </r>
      </text>
    </comment>
    <comment ref="S12" authorId="1">
      <text>
        <r>
          <rPr>
            <sz val="8"/>
            <rFont val="Tahoma"/>
            <family val="2"/>
          </rPr>
          <t>Gain in units of standard deviation of the mature character. The function rg gives the correlatation between the juvenile measurement and the mature goal character.</t>
        </r>
      </text>
    </comment>
    <comment ref="T32" authorId="1">
      <text>
        <r>
          <rPr>
            <sz val="8"/>
            <rFont val="Tahoma"/>
            <family val="0"/>
          </rPr>
          <t>Gain considering that halfsibs may have unimproved (or less improved) fathers.</t>
        </r>
      </text>
    </comment>
    <comment ref="B22" authorId="1">
      <text>
        <r>
          <rPr>
            <sz val="8"/>
            <rFont val="Tahoma"/>
            <family val="0"/>
          </rPr>
          <t>Note that in this alternative both parents to a full sib family get the same breeding value. Thus a good parent may be lost because it was mated with a bad one, and a bad parent may get selected because it was mated with a good one. As it is SPM, parents are included in only a single mating.</t>
        </r>
      </text>
    </comment>
    <comment ref="B12" authorId="1">
      <text>
        <r>
          <rPr>
            <sz val="8"/>
            <rFont val="Tahoma"/>
            <family val="0"/>
          </rPr>
          <t>Alternative 1
Parental testing, evaluation of parents based on the performance of their progeny, "progeny-test". This can be done e.g. by wind-pollination in the forest or polycross in a clonal archieve. The parents are ranked based on the performance of the progeny.</t>
        </r>
      </text>
    </comment>
    <comment ref="D71" authorId="1">
      <text>
        <r>
          <rPr>
            <sz val="8"/>
            <rFont val="Tahoma"/>
            <family val="2"/>
          </rPr>
          <t>This is selection intensity for finite case, it is used for calculating the gain (C75)</t>
        </r>
      </text>
    </comment>
    <comment ref="D67" authorId="1">
      <text>
        <r>
          <rPr>
            <sz val="8"/>
            <rFont val="Tahoma"/>
            <family val="0"/>
          </rPr>
          <t>This is the initial additive variance.</t>
        </r>
      </text>
    </comment>
    <comment ref="E67" authorId="1">
      <text>
        <r>
          <rPr>
            <sz val="8"/>
            <rFont val="Tahoma"/>
            <family val="0"/>
          </rPr>
          <t>This is the truncated additive variance</t>
        </r>
      </text>
    </comment>
    <comment ref="D68" authorId="1">
      <text>
        <r>
          <rPr>
            <sz val="8"/>
            <rFont val="Tahoma"/>
            <family val="0"/>
          </rPr>
          <t>This is the heritability in the first round of selections</t>
        </r>
      </text>
    </comment>
    <comment ref="E68" authorId="1">
      <text>
        <r>
          <rPr>
            <sz val="8"/>
            <rFont val="Tahoma"/>
            <family val="0"/>
          </rPr>
          <t>The heritability in the second round of selections, note that this heritability must take the reduced additive variance into consideration</t>
        </r>
      </text>
    </comment>
    <comment ref="E69" authorId="1">
      <text>
        <r>
          <rPr>
            <sz val="8"/>
            <rFont val="Tahoma"/>
            <family val="0"/>
          </rPr>
          <t>The number of initial selections available for the second round of selections</t>
        </r>
      </text>
    </comment>
    <comment ref="H5" authorId="1">
      <text>
        <r>
          <rPr>
            <sz val="8"/>
            <rFont val="Tahoma"/>
            <family val="0"/>
          </rPr>
          <t>Gray fields indicate that the genetic difference between selected plus tree mothers and unimproved wind pollen matters</t>
        </r>
      </text>
    </comment>
    <comment ref="I50" authorId="1">
      <text>
        <r>
          <rPr>
            <sz val="8"/>
            <rFont val="Tahoma"/>
            <family val="0"/>
          </rPr>
          <t>Some may find this formula easier to understand if the entity 0.5sA2/m is moved from the first term of the formula to the last. In that way the within family variance appear complete in the lats component of the formula. The reason for the current formulation is that the analogy with the corresponding a1 seems easier to realise.</t>
        </r>
      </text>
    </comment>
    <comment ref="C17" authorId="1">
      <text>
        <r>
          <rPr>
            <sz val="8"/>
            <color indexed="10"/>
            <rFont val="Tahoma"/>
            <family val="2"/>
          </rPr>
          <t>a1</t>
        </r>
        <r>
          <rPr>
            <sz val="8"/>
            <rFont val="Tahoma"/>
            <family val="0"/>
          </rPr>
          <t xml:space="preserve"> and </t>
        </r>
        <r>
          <rPr>
            <sz val="8"/>
            <color indexed="10"/>
            <rFont val="Tahoma"/>
            <family val="2"/>
          </rPr>
          <t>a2</t>
        </r>
        <r>
          <rPr>
            <sz val="8"/>
            <rFont val="Tahoma"/>
            <family val="0"/>
          </rPr>
          <t xml:space="preserve"> are introduced mainly to divide the very complex formula in managable pieces, but </t>
        </r>
        <r>
          <rPr>
            <sz val="8"/>
            <color indexed="10"/>
            <rFont val="Tahoma"/>
            <family val="2"/>
          </rPr>
          <t>a1</t>
        </r>
        <r>
          <rPr>
            <sz val="8"/>
            <rFont val="Tahoma"/>
            <family val="0"/>
          </rPr>
          <t xml:space="preserve"> and </t>
        </r>
        <r>
          <rPr>
            <sz val="8"/>
            <color indexed="10"/>
            <rFont val="Tahoma"/>
            <family val="2"/>
          </rPr>
          <t>a2</t>
        </r>
        <r>
          <rPr>
            <sz val="8"/>
            <rFont val="Tahoma"/>
            <family val="0"/>
          </rPr>
          <t xml:space="preserve"> may be interpreted in terms of variances and covariances and their quotient in terms of genetic correlations. See Explanations for more detail.</t>
        </r>
      </text>
    </comment>
    <comment ref="L23" authorId="1">
      <text>
        <r>
          <rPr>
            <sz val="8"/>
            <rFont val="Tahoma"/>
            <family val="0"/>
          </rPr>
          <t>Predicted gain in the mature (goal) character.</t>
        </r>
      </text>
    </comment>
    <comment ref="L27" authorId="1">
      <text>
        <r>
          <rPr>
            <sz val="8"/>
            <rFont val="Tahoma"/>
            <family val="0"/>
          </rPr>
          <t>This is the correlation between the breeding value (additive genetic value) and the index used for estimating it. The gain is proportional to this correlation.</t>
        </r>
      </text>
    </comment>
    <comment ref="N26" authorId="1">
      <text>
        <r>
          <rPr>
            <sz val="8"/>
            <rFont val="Tahoma"/>
            <family val="0"/>
          </rPr>
          <t>This is "effective size", thus status number. If parents are unrelated and non inbred, this equals nr of selected parents.</t>
        </r>
      </text>
    </comment>
    <comment ref="N27" authorId="1">
      <text>
        <r>
          <rPr>
            <sz val="8"/>
            <rFont val="Tahoma"/>
            <family val="0"/>
          </rPr>
          <t>Group coancestry (average relationship)</t>
        </r>
      </text>
    </comment>
    <comment ref="N28" authorId="1">
      <text>
        <r>
          <rPr>
            <sz val="8"/>
            <rFont val="Tahoma"/>
            <family val="0"/>
          </rPr>
          <t>Number of selections</t>
        </r>
      </text>
    </comment>
    <comment ref="N41" authorId="1">
      <text>
        <r>
          <rPr>
            <sz val="8"/>
            <rFont val="Tahoma"/>
            <family val="0"/>
          </rPr>
          <t>Number of selections</t>
        </r>
      </text>
    </comment>
    <comment ref="D72" authorId="1">
      <text>
        <r>
          <rPr>
            <sz val="8"/>
            <rFont val="Tahoma"/>
            <family val="0"/>
          </rPr>
          <t>This is the selection intensity for the infinite case, it is used for calculating the variance (C74)</t>
        </r>
      </text>
    </comment>
    <comment ref="N37" authorId="1">
      <text>
        <r>
          <rPr>
            <sz val="8"/>
            <rFont val="Tahoma"/>
            <family val="0"/>
          </rPr>
          <t>This is "effective size", thus status number per half sib family:
 s/(.75+.25s)    (Lindgren et al 1996)
If the half sib families are of equal size and unrelated it can be summed over all families</t>
        </r>
      </text>
    </comment>
    <comment ref="N38" authorId="1">
      <text>
        <r>
          <rPr>
            <sz val="8"/>
            <rFont val="Tahoma"/>
            <family val="0"/>
          </rPr>
          <t>Group coancestry (average relationship). 
Note that it is calculated here assuming half sibs are unrelated, this is not the case if they are PC, orhard collections or archive collections.</t>
        </r>
      </text>
    </comment>
    <comment ref="N50" authorId="1">
      <text>
        <r>
          <rPr>
            <sz val="8"/>
            <rFont val="Tahoma"/>
            <family val="0"/>
          </rPr>
          <t>This is "effective size", thus status number. Note that it is calculated here be summing over families. This is possible only if families are unrelated</t>
        </r>
      </text>
    </comment>
    <comment ref="N51" authorId="1">
      <text>
        <r>
          <rPr>
            <sz val="8"/>
            <rFont val="Tahoma"/>
            <family val="0"/>
          </rPr>
          <t>Group coancestry (average relationship)</t>
        </r>
      </text>
    </comment>
    <comment ref="N52" authorId="1">
      <text>
        <r>
          <rPr>
            <sz val="8"/>
            <rFont val="Tahoma"/>
            <family val="0"/>
          </rPr>
          <t>Number of selections</t>
        </r>
      </text>
    </comment>
    <comment ref="N62" authorId="1">
      <text>
        <r>
          <rPr>
            <sz val="8"/>
            <rFont val="Tahoma"/>
            <family val="0"/>
          </rPr>
          <t>Number of selections</t>
        </r>
      </text>
    </comment>
    <comment ref="D73" authorId="1">
      <text>
        <r>
          <rPr>
            <sz val="8"/>
            <rFont val="Tahoma"/>
            <family val="0"/>
          </rPr>
          <t>This is with infinity assumption</t>
        </r>
      </text>
    </comment>
    <comment ref="J37" authorId="1">
      <text>
        <r>
          <rPr>
            <sz val="8"/>
            <rFont val="Tahoma"/>
            <family val="0"/>
          </rPr>
          <t>This is a selection intensity. How it is formed is seen to the left and how it is used is seen to the right</t>
        </r>
      </text>
    </comment>
    <comment ref="J40" authorId="1">
      <text>
        <r>
          <rPr>
            <sz val="8"/>
            <rFont val="Tahoma"/>
            <family val="0"/>
          </rPr>
          <t>This is a selection intensity. How it is formed is seen to the left and how it is used is seen to the right</t>
        </r>
      </text>
    </comment>
    <comment ref="J52" authorId="1">
      <text>
        <r>
          <rPr>
            <sz val="8"/>
            <rFont val="Tahoma"/>
            <family val="0"/>
          </rPr>
          <t>This is a selection intensity. How it is formed is seen to the left and how it is used is seen to the right</t>
        </r>
      </text>
    </comment>
    <comment ref="J49" authorId="1">
      <text>
        <r>
          <rPr>
            <sz val="8"/>
            <rFont val="Tahoma"/>
            <family val="0"/>
          </rPr>
          <t>This is a selection intensity. How it is formed is seen in the row to the left and how it is used is seen in the column to the right</t>
        </r>
      </text>
    </comment>
    <comment ref="J60" authorId="1">
      <text>
        <r>
          <rPr>
            <sz val="8"/>
            <rFont val="Tahoma"/>
            <family val="0"/>
          </rPr>
          <t>This is a selection intensity. How it is formed is seen in the row to the left and how it is used is seen in the column to the right</t>
        </r>
      </text>
    </comment>
    <comment ref="K5" authorId="1">
      <text>
        <r>
          <rPr>
            <sz val="8"/>
            <rFont val="Tahoma"/>
            <family val="0"/>
          </rPr>
          <t>There is no function rY, but there is a macro rg(age) which can be called upon, thus rg and rY may be seen as synonyms</t>
        </r>
      </text>
    </comment>
    <comment ref="B2" authorId="2">
      <text>
        <r>
          <rPr>
            <sz val="8"/>
            <rFont val="Tahoma"/>
            <family val="2"/>
          </rPr>
          <t xml:space="preserve">A good start could be to read the introduction in the sheet </t>
        </r>
        <r>
          <rPr>
            <b/>
            <sz val="8"/>
            <rFont val="Tahoma"/>
            <family val="2"/>
          </rPr>
          <t>explanations</t>
        </r>
        <r>
          <rPr>
            <sz val="8"/>
            <rFont val="Tahoma"/>
            <family val="2"/>
          </rPr>
          <t xml:space="preserve">. 
To get an overview of the structure, zoom out the sheet to make certain you see all of it.
Check what is in the other sheets! 
Do not be afraid of destroying the workbook by changing it in an uproper way, so make experiments,  you can always download a fresh copy! 
If trouble occur, look into trouble.
Much information is given in comments, which become visible when the cursor is moved over the relevant cell. It is useful to study the comments given to specific cells. Most explanations are given as comments like this, but there are documents and formulas and explanations attached also in the workbook.
</t>
        </r>
      </text>
    </comment>
    <comment ref="C3" authorId="1">
      <text>
        <r>
          <rPr>
            <b/>
            <sz val="8"/>
            <color indexed="10"/>
            <rFont val="Tahoma"/>
            <family val="2"/>
          </rPr>
          <t xml:space="preserve">The main aim of the sheet is to compare different ways of setting up seed orchards, or clonal mixtures.
Formulas may be used  for many other purposes also
This can be seen as a "linear" simulator, starting with selection of plus trees and ending with establishment of the production population.
It can be used for optimisation in cominations with trial and error or "Solver".
</t>
        </r>
      </text>
    </comment>
    <comment ref="D3" authorId="1">
      <text>
        <r>
          <rPr>
            <b/>
            <sz val="10"/>
            <rFont val="Tahoma"/>
            <family val="2"/>
          </rPr>
          <t xml:space="preserve">Assumptions general for this workbook
</t>
        </r>
        <r>
          <rPr>
            <sz val="8"/>
            <rFont val="Tahoma"/>
            <family val="0"/>
          </rPr>
          <t xml:space="preserve">
Initial trees are in genetic equilibirum (origin from the same population)
Pollen contamination (gene flow from sourrounding) will not be considered in this workbook.
All trees are equally reproductively successful in seed orchards
- three sources of variance are considered: additive, dominance and environmental.
- one test site (i.e. no G x E interaction).
- no C-effects (e.g. maternal or cloning effects).
- average breeding value of founders is 100% (or, differetnly expressed, 0) 
- the reduction of variation by selection is not fully accounted for, the effect is probably minor.
- the goal character is known and the correlation  (in the full population) between it and observation character is known and here described as J-M correlation 
Trees are related only as sibs if they belong to the same family.
Some of these simplifications are unimportant, some can be relaxed, for some it is possible to extend the theory to more general conditions.</t>
        </r>
      </text>
    </comment>
    <comment ref="E3" authorId="1">
      <text>
        <r>
          <rPr>
            <sz val="8"/>
            <color indexed="10"/>
            <rFont val="Tahoma"/>
            <family val="2"/>
          </rPr>
          <t>The initial settings</t>
        </r>
        <r>
          <rPr>
            <sz val="8"/>
            <rFont val="Tahoma"/>
            <family val="0"/>
          </rPr>
          <t xml:space="preserve"> (i.e. the settings present on the web)  usually </t>
        </r>
        <r>
          <rPr>
            <sz val="8"/>
            <color indexed="10"/>
            <rFont val="Tahoma"/>
            <family val="2"/>
          </rPr>
          <t>carry messages.</t>
        </r>
        <r>
          <rPr>
            <sz val="8"/>
            <rFont val="Tahoma"/>
            <family val="0"/>
          </rPr>
          <t xml:space="preserve"> The intention is that the initial settings should be reasonable and in the same time should result in similar costs, the same number of plants used and the status number for the alternatives.</t>
        </r>
      </text>
    </comment>
    <comment ref="F3" authorId="1">
      <text>
        <r>
          <rPr>
            <b/>
            <sz val="8"/>
            <color indexed="14"/>
            <rFont val="Tahoma"/>
            <family val="2"/>
          </rPr>
          <t>Downloading</t>
        </r>
        <r>
          <rPr>
            <sz val="8"/>
            <rFont val="Tahoma"/>
            <family val="0"/>
          </rPr>
          <t xml:space="preserve">
On my web-browser, when you point at a link, which will leads to a file, right-click and when select "Save Target As ..." to download. On some modems downloading may be too slow.
</t>
        </r>
        <r>
          <rPr>
            <b/>
            <sz val="8"/>
            <color indexed="14"/>
            <rFont val="Tahoma"/>
            <family val="2"/>
          </rPr>
          <t>Macros</t>
        </r>
        <r>
          <rPr>
            <sz val="8"/>
            <rFont val="Tahoma"/>
            <family val="0"/>
          </rPr>
          <t xml:space="preserve">
Macros must be enabled to run the worksheets. A reason for the appearance of NAME? is that the macros do not work. When importing EXCEL sheets, macros must be enabled. It seems to be a function in EXCEL Tools - Macro - Security, which can switch off "unsigned non authorized" macros, if this happens this security feature must adapted to the need of running these macros.</t>
        </r>
      </text>
    </comment>
    <comment ref="G3" authorId="1">
      <text>
        <r>
          <rPr>
            <sz val="8"/>
            <rFont val="Tahoma"/>
            <family val="0"/>
          </rPr>
          <t>If cells do not show numbers, it can be as you inserted an unreasonable value. Or it may just not be space enough for the value.
The macros may not be enabled.
 You may look at the wrong place of the sheet.</t>
        </r>
      </text>
    </comment>
    <comment ref="K3" authorId="1">
      <text>
        <r>
          <rPr>
            <sz val="8"/>
            <rFont val="Tahoma"/>
            <family val="0"/>
          </rPr>
          <t>This simulator was developed by Dag Lindgren (dag.lindgren@genfys.slu.se). The main job was made in the late 90ies.  The last edits to this workbook were done in October 2002. The current version was made in MS EXCEL 2000 for Windows.</t>
        </r>
      </text>
    </comment>
    <comment ref="L3" authorId="1">
      <text>
        <r>
          <rPr>
            <b/>
            <sz val="10"/>
            <color indexed="14"/>
            <rFont val="Tahoma"/>
            <family val="2"/>
          </rPr>
          <t>Formula presentation</t>
        </r>
        <r>
          <rPr>
            <sz val="8"/>
            <rFont val="Tahoma"/>
            <family val="0"/>
          </rPr>
          <t xml:space="preserve">
The intention is to present formulas several times: in a comment in the cells , which are derived from the formulas;  in  an explanation sheet; and in a cell to the left or right of the cell with the formula. It would be best to have them in a comment, but stupid EXCEL does not permit copying into comments with formats and have not sub and sup as optional buttons!
For the cell comments formulas (for convenience) are in an abbreviated form.
Formulas in cells can be read directly from the EXCEL cell pointers but that is difficult to follow
There is often no equal sign and no left part (often the symbol can be found in the column or row heading). 
sA2  is often ommitted as it is = 1. Note that the formula for gain used here usually is
i(NMo,N) (e.g.) reads selection intensity when selecting the best mothers among the initial trees.
To insert formulas makes it easier to check the worksheet and also easier to use the work sheet as a type of formula collection.</t>
        </r>
      </text>
    </comment>
    <comment ref="L2" authorId="1">
      <text>
        <r>
          <rPr>
            <b/>
            <sz val="8"/>
            <color indexed="17"/>
            <rFont val="Tahoma"/>
            <family val="2"/>
          </rPr>
          <t>Macros</t>
        </r>
        <r>
          <rPr>
            <sz val="8"/>
            <rFont val="Tahoma"/>
            <family val="0"/>
          </rPr>
          <t xml:space="preserve">
Macros must be enabled to run the worksheets. A reason for the appearance of NAME? is that the macros do not work. When importing EXCEL sheets, macros must be enabled. It seems to be a function in EXCEL Tools - Macro - Security, which can switch off "unsigned non authorized" macros, if this happens this security feature must adapted to the need of running these macros.
</t>
        </r>
        <r>
          <rPr>
            <b/>
            <sz val="8"/>
            <color indexed="17"/>
            <rFont val="Tahoma"/>
            <family val="2"/>
          </rPr>
          <t>Program development</t>
        </r>
        <r>
          <rPr>
            <sz val="8"/>
            <rFont val="Tahoma"/>
            <family val="0"/>
          </rPr>
          <t xml:space="preserve">
Programs may have their evolution. Some programs will be further developed. A recently created file is rather likely to be the object for improvement and a new version may appear. Old EXCEL-files are not likely to change or be severely wrong. Many of them could be improved (management of non actual programs is not considered a major task for me), but when it is likely to be as quite new programs. We often keep older versions available (it is also a service for those who do not use updated computer systems). 
</t>
        </r>
        <r>
          <rPr>
            <b/>
            <sz val="8"/>
            <color indexed="17"/>
            <rFont val="Tahoma"/>
            <family val="2"/>
          </rPr>
          <t>Computer peculiarities</t>
        </r>
        <r>
          <rPr>
            <sz val="8"/>
            <rFont val="Tahoma"/>
            <family val="0"/>
          </rPr>
          <t xml:space="preserve">
Much of what occurs on your screen is related to your local circumstances and settings, and thus not controlled by me. How the texts appear on screen may be up to your computer settings. Often the font used is just the default. Non-Latin characters (e.g. the Swedish letters and many Greek symbols) may vanish or appear odd. The screen size, screen setting and magnification are factors which partly depend on your own settings or circumstances, but matters for how your view appears. You may, especially at first glance, find it annoying that too much information is available, and that you can find more things both rightwards and downwards. To get an overview, you can try a lower magnification percentage. To widen columns may sometimes help when the cell is not readable. MS equation editor has been used for explanatory reasons (to understand a formula by the references in a cell is difficult), but many computers have not this facility installed, and if so you may only see empty boxes.
</t>
        </r>
        <r>
          <rPr>
            <b/>
            <sz val="8"/>
            <color indexed="17"/>
            <rFont val="Tahoma"/>
            <family val="2"/>
          </rPr>
          <t>Copyright</t>
        </r>
        <r>
          <rPr>
            <sz val="8"/>
            <rFont val="Tahoma"/>
            <family val="0"/>
          </rPr>
          <t xml:space="preserve">
We allow the user of this EXCEL work book copying, using, developing, changing or extracting from the files. We do not give up the formal copyright if we own it, but we promise this will not cause trouble for any reasonable and foreseeable use. You are welcome to deal with the information as it was free-wear. 
</t>
        </r>
        <r>
          <rPr>
            <b/>
            <sz val="8"/>
            <color indexed="17"/>
            <rFont val="Tahoma"/>
            <family val="2"/>
          </rPr>
          <t>Mistakes</t>
        </r>
        <r>
          <rPr>
            <sz val="8"/>
            <rFont val="Tahoma"/>
            <family val="0"/>
          </rPr>
          <t xml:space="preserve">
We often make mistakes, thus some formulas or interpretations may be erroneous. Please focus my attention if you suspect this may be the case in a special situation! Some mistakes we detect ourself. Thus, mistakes are more likely in a recently introduced feature, than in one which has existed for a long time. Thus, be more conservative against innovations and check sometimes if there are new versions.
</t>
        </r>
        <r>
          <rPr>
            <b/>
            <sz val="8"/>
            <color indexed="17"/>
            <rFont val="Tahoma"/>
            <family val="2"/>
          </rPr>
          <t>Disclaimer</t>
        </r>
        <r>
          <rPr>
            <sz val="8"/>
            <rFont val="Tahoma"/>
            <family val="0"/>
          </rPr>
          <t xml:space="preserve">
I do not accept any formal or legal responsibility for anything, which may happen if you use this workbook or let the suggested values or information lead your decisions. My sincere guess is, however, that such use will not cause the end of your world.
</t>
        </r>
        <r>
          <rPr>
            <b/>
            <sz val="8"/>
            <color indexed="17"/>
            <rFont val="Tahoma"/>
            <family val="2"/>
          </rPr>
          <t>Genetic particulars</t>
        </r>
        <r>
          <rPr>
            <sz val="8"/>
            <rFont val="Tahoma"/>
            <family val="0"/>
          </rPr>
          <t xml:space="preserve">
Usually only a single character on a single site is considered. This "character" can, however, be an index considering several characters, sites and tests, so this is not as severe constraint, as it may appear at first sight.
</t>
        </r>
        <r>
          <rPr>
            <b/>
            <sz val="8"/>
            <color indexed="17"/>
            <rFont val="Tahoma"/>
            <family val="2"/>
          </rPr>
          <t>Difficulties??</t>
        </r>
        <r>
          <rPr>
            <sz val="8"/>
            <rFont val="Tahoma"/>
            <family val="0"/>
          </rPr>
          <t xml:space="preserve">
If you find it difficult and time-consuming to use our programmes, that certainly is a feeling you share with many others. I appreciate feed back, preferable by E-mail. I may try to help you. If there is something particular you do not understand, I will probably remain unaware of the difficulty or mistake, if someone do not tell me. It is much too easy to be misleading or to make mistakes! To improve transparency, user contacts are extremely valuable. It would be nice to know to what extent people outside my known collaborators find this development of genetic worksheets a valuable service.
Most of our EXCEL sheets use macros, thus do not unable macros!
  Your machine may not be compatible with the modern EXCEL versions or does not work with my files for some other reason. Do not give up understanding too soon! Did you look at all explaining text? Maybe you are in the wrong sheet in the workbook? Clicking at the bottom menu changes sheets! Or you may not have looked at the right place of the sheet; you may be able to see only a part of the sheet, in particular if you have a small screen or a high magnification setting (you can change the magnification yourself). You may miss something important, if you do not search over the whole sheet. There may be more information elsewhere, so try some trial and error before quitting!
  If you change cells meant for output, that harms the function of the workbook. Usually nothing prevents you from inserting "impossible" entries. A common reason for odd, not interpretable or no results is that an unreasonable value has been entered. You can insert big values or get output with many digits, resulting in confusing symbols on the screen in spite of that everything actually works and you can see the results if you widen the columns. Language settings may cause problems; e.g. EXCEL in Swedish setting does not recognise decimal points (program developers often do not comprehend all type of problems encountered by different flavours of the majority of the world which is not English).
  One useful question when you get a result, which does not appeal to you, is if you have addressed the right question. A common mistake is to get the right answer on the wrong question. Also you may sometimes distrust your intuition. Sometimes I have found that results I regarded as contra-intuitive were right, and when I learned something.
</t>
        </r>
        <r>
          <rPr>
            <b/>
            <sz val="8"/>
            <color indexed="17"/>
            <rFont val="Tahoma"/>
            <family val="2"/>
          </rPr>
          <t>Why EXCEL?</t>
        </r>
        <r>
          <rPr>
            <sz val="8"/>
            <rFont val="Tahoma"/>
            <family val="0"/>
          </rPr>
          <t xml:space="preserve">
EXCEL is available on many computers all over the world and most forest tree breeders and forest geneticists are able to use it, so I guessed the best way to create generally available tools was to use EXCEL. 
The EXCEL (.XLS) files were mostly developed as workbooks for Windows. The sheets often also contains insertions, e.g. from MS Word or MS Equation, these are not essential for the function, but may be relevant for the understanding. A Mac may add to these transcription problems (we use MS). In mid November 97 we started using EXCEL in 97 years version. New programs and updated versions of the old are made in 97 version of EXCEL, but old versions are sometimes kept on the site for some time.
I guess the EXCEL work books can be helpful if you adapt them to own problems, even in the case you can not use the worksheets as they are organised. If you understand how the worksheets work, you may extend or fine-tune them to your own problem; they may serve as useful templates for further development. They are also intended to serve a pedagogical purpose; they offer a way to understand concepts I feel important. They may even serve as collections of relevant formulas.
</t>
        </r>
      </text>
    </comment>
    <comment ref="N3" authorId="1">
      <text>
        <r>
          <rPr>
            <sz val="8"/>
            <rFont val="Tahoma"/>
            <family val="0"/>
          </rPr>
          <t>Helpful comments in constructing this workbook has been obtained from many persons during the time. Through the last years can be mentioned Jianguo Cui, Milan Lstiburek and Ola Rosvall.</t>
        </r>
      </text>
    </comment>
    <comment ref="O3" authorId="1">
      <text>
        <r>
          <rPr>
            <sz val="8"/>
            <rFont val="Tahoma"/>
            <family val="0"/>
          </rPr>
          <t>There is no testing of genotypes assumed, but in the related alternative the families can be regarded as tested</t>
        </r>
      </text>
    </comment>
    <comment ref="J3" authorId="1">
      <text>
        <r>
          <rPr>
            <b/>
            <sz val="8"/>
            <rFont val="Tahoma"/>
            <family val="0"/>
          </rPr>
          <t>Cost components may be as important considerations as genetic variance components. The cost is specified in different components, an initial component and costs which depend on the number of plants and number of parents.
You get the costs of different alternatives
One way of comparing alternatives is to keep cost constant.</t>
        </r>
      </text>
    </comment>
    <comment ref="P3" authorId="1">
      <text>
        <r>
          <rPr>
            <sz val="8"/>
            <rFont val="Tahoma"/>
            <family val="0"/>
          </rPr>
          <t xml:space="preserve">
Changes in the worksheet which affect the results were done in October 2002. Some results earlier may be misleading.
The changed cells with formulas or values are indicated by dotted background in hte concerned cells.
The changes are as follows
Alternative 3, adjustment for unimproved fathers
 S31:T38 were corrected 
L38 become 1 instead of 0.1 as it is relative to mature variation and not absolute
In all alternatives the figure and the age dependence was not based on selection intensity. This means changes in S19; S28; S38; S50; S61</t>
        </r>
      </text>
    </comment>
    <comment ref="H3" authorId="1">
      <text>
        <r>
          <rPr>
            <b/>
            <sz val="8"/>
            <rFont val="Tahoma"/>
            <family val="0"/>
          </rPr>
          <t>Dag Lindgren:</t>
        </r>
        <r>
          <rPr>
            <sz val="8"/>
            <rFont val="Tahoma"/>
            <family val="0"/>
          </rPr>
          <t xml:space="preserve">
From JianGuo I got the following message 02-10-04
For Alt3 (for forward selection based on OP progeny when seeds are
collected from wild forest) in GAINPRED_ADVACED_2002, the gain should be
adjusted by subtracting half the plus tree gain. I don't think the
adjustment in Cell S36 is right. I think it should not be adjusted here,
that means the formula in this cell should be (L$34+L$37)*L$6 instead of
(L$34+L$37-O$36/2)*L$6. It shoud be adjusted from Cell T29 to T35 like what
have been done in those cells. I'm not sure if the value in cell O36 is in
absolute scale or in unit of sAM . If it is absolute value, I don't think
the adjustment is reasonable because the values in from cell S29 to S35 is
in unit of sAM.
I think he is correct, and I have changed accordingly with rather important results</t>
        </r>
      </text>
    </comment>
    <comment ref="N2" authorId="1">
      <text>
        <r>
          <rPr>
            <b/>
            <sz val="8"/>
            <color indexed="14"/>
            <rFont val="Tahoma"/>
            <family val="2"/>
          </rPr>
          <t>Constraints</t>
        </r>
        <r>
          <rPr>
            <sz val="8"/>
            <rFont val="Tahoma"/>
            <family val="0"/>
          </rPr>
          <t xml:space="preserve">
Only SPM (single pair matings) are considered as alternative comprising full sib families. Either a family is not represented at all among the selections, or it is represented by a fixed number of individuals. 
No considerations about genotype*environment interaction or number of test localities or range to use the material has been made. The predicting formulas refer to the case where the improved material is spread out over an area where input are valid. The effect of genotype-environment interaction if one goes from the parameters of a single site to real forestry over an area could be considered by assigning R a smaller value than 1.
Gain is expressed in a single character (although that character may be a combined index including many characters). 
No "after-effects" has been considered, this probably considerably overestimates the gain aschieved by progeny-test based on wind-pollination in the forest. Cloning has been assumed not to change the performance or induce an extra variation, this is probably not true, but it would be difficult to express in formulas or figures.
Note that in a real seed orchard will inbreeding occur. This has not been considered. In a real seed orchard gain can be boosted by using more ramets of better clones, this is not considered</t>
        </r>
      </text>
    </comment>
    <comment ref="I3" authorId="1">
      <text>
        <r>
          <rPr>
            <sz val="8"/>
            <rFont val="Tahoma"/>
            <family val="0"/>
          </rPr>
          <t>Genetic gains may be expressed in "absolute" units like cms or % of experimental averages. They may also be expressed in relative units be keeping the additive genetic standard deviation the unit, 1. In this workbook both methods are used.
If an absolute scale is used, it is best to have percent of the average, thus 10 means that sd of additive genetic variance is 10 percent of the average.</t>
        </r>
      </text>
    </comment>
    <comment ref="D24" authorId="1">
      <text>
        <r>
          <rPr>
            <sz val="8"/>
            <rFont val="Tahoma"/>
            <family val="0"/>
          </rPr>
          <t xml:space="preserve">This is the number of plants in a full-sib family.
Suggested initial setting is </t>
        </r>
        <r>
          <rPr>
            <sz val="8"/>
            <color indexed="10"/>
            <rFont val="Tahoma"/>
            <family val="2"/>
          </rPr>
          <t>25</t>
        </r>
      </text>
    </comment>
    <comment ref="D26" authorId="1">
      <text>
        <r>
          <rPr>
            <sz val="8"/>
            <rFont val="Tahoma"/>
            <family val="0"/>
          </rPr>
          <t xml:space="preserve">The number of selected parents based on the progeny test.
Suggested initial setting is </t>
        </r>
        <r>
          <rPr>
            <sz val="8"/>
            <color indexed="10"/>
            <rFont val="Tahoma"/>
            <family val="2"/>
          </rPr>
          <t>20</t>
        </r>
      </text>
    </comment>
    <comment ref="H26" authorId="1">
      <text>
        <r>
          <rPr>
            <sz val="8"/>
            <rFont val="Tahoma"/>
            <family val="0"/>
          </rPr>
          <t xml:space="preserve">The number of candidate  parents (often plus tree genotypes) available for selection.
Suggested initial setting is </t>
        </r>
        <r>
          <rPr>
            <sz val="8"/>
            <color indexed="10"/>
            <rFont val="Tahoma"/>
            <family val="2"/>
          </rPr>
          <t>200</t>
        </r>
      </text>
    </comment>
    <comment ref="P2" authorId="1">
      <text>
        <r>
          <rPr>
            <b/>
            <sz val="8"/>
            <rFont val="Tahoma"/>
            <family val="0"/>
          </rPr>
          <t>Dag Lindgren:</t>
        </r>
        <r>
          <rPr>
            <sz val="8"/>
            <rFont val="Tahoma"/>
            <family val="0"/>
          </rPr>
          <t xml:space="preserve">
Insert customary choice of juvenile mature correlation function
Insert seed orchard specifications
Perhaps have the inputs in one long column to the left
When formatting comments is easier, make the formuals as comments.</t>
        </r>
      </text>
    </comment>
    <comment ref="B32" authorId="1">
      <text>
        <r>
          <rPr>
            <sz val="8"/>
            <rFont val="Tahoma"/>
            <family val="0"/>
          </rPr>
          <t>Alternative 3
The founders are selections in the forest, and in some way half sib families (with an assumed large number of unrelated fathers) are created.
 This can be done e.g. by wind-pollination in the forest or polycross in a clonal archieve. The half sib families are ranked based on their performance. From the better half sib families, selections are made.</t>
        </r>
      </text>
    </comment>
    <comment ref="B44" authorId="1">
      <text>
        <r>
          <rPr>
            <sz val="8"/>
            <rFont val="Tahoma"/>
            <family val="0"/>
          </rPr>
          <t>Alternative 4
The founders are crossed pairwise (single pair mating). The offspring is tested. The option exists to clone the offspring (choose n&gt;1) before testing. The test is evaluated and genotypes are selected. First the top ranking families are identified, and when the top ranking genotypes within these families are selected.</t>
        </r>
      </text>
    </comment>
    <comment ref="B56" authorId="1">
      <text>
        <r>
          <rPr>
            <sz val="8"/>
            <rFont val="Tahoma"/>
            <family val="0"/>
          </rPr>
          <t xml:space="preserve">Alternative 5
The founders are vegetatively propagated (cloned). Then the founders are ranked based on the performance of the clones.
</t>
        </r>
      </text>
    </comment>
    <comment ref="D34" authorId="1">
      <text>
        <r>
          <rPr>
            <sz val="8"/>
            <rFont val="Tahoma"/>
            <family val="0"/>
          </rPr>
          <t xml:space="preserve">This is the number of plants in a half-sib family.
Suggested initial setting is </t>
        </r>
        <r>
          <rPr>
            <sz val="8"/>
            <color indexed="10"/>
            <rFont val="Tahoma"/>
            <family val="2"/>
          </rPr>
          <t>25</t>
        </r>
      </text>
    </comment>
    <comment ref="K13" authorId="1">
      <text>
        <r>
          <rPr>
            <sz val="8"/>
            <rFont val="Tahoma"/>
            <family val="0"/>
          </rPr>
          <t>Gain measured in fractions of additive standard deviation of the goal (mature) character. "Relative units"</t>
        </r>
      </text>
    </comment>
    <comment ref="K14" authorId="1">
      <text>
        <r>
          <rPr>
            <sz val="8"/>
            <rFont val="Tahoma"/>
            <family val="0"/>
          </rPr>
          <t>Gain measured in % of the average value of the plus trees.</t>
        </r>
      </text>
    </comment>
    <comment ref="M13" authorId="0">
      <text>
        <r>
          <rPr>
            <sz val="10"/>
            <rFont val="Tahoma"/>
            <family val="2"/>
          </rPr>
          <t>standard deviation of goal character (mature age)</t>
        </r>
      </text>
    </comment>
    <comment ref="M23" authorId="0">
      <text>
        <r>
          <rPr>
            <sz val="10"/>
            <rFont val="Tahoma"/>
            <family val="2"/>
          </rPr>
          <t>standard deviation of goal character (mature age)</t>
        </r>
      </text>
    </comment>
    <comment ref="M33" authorId="0">
      <text>
        <r>
          <rPr>
            <sz val="10"/>
            <rFont val="Tahoma"/>
            <family val="2"/>
          </rPr>
          <t>standard deviation of goal character (mature age)</t>
        </r>
      </text>
    </comment>
    <comment ref="K15" authorId="1">
      <text>
        <r>
          <rPr>
            <sz val="8"/>
            <rFont val="Tahoma"/>
            <family val="0"/>
          </rPr>
          <t>Breeding value measured in % of the average performance of the plus trees.</t>
        </r>
      </text>
    </comment>
    <comment ref="K25" authorId="1">
      <text>
        <r>
          <rPr>
            <sz val="8"/>
            <rFont val="Tahoma"/>
            <family val="0"/>
          </rPr>
          <t>Breeding value measured in % of the average performance of the plus trees. "Absolute units".</t>
        </r>
      </text>
    </comment>
    <comment ref="K23" authorId="1">
      <text>
        <r>
          <rPr>
            <sz val="8"/>
            <rFont val="Tahoma"/>
            <family val="0"/>
          </rPr>
          <t>Gain measured in fractions of additive standard deviation of the goal (mature) character. "Relative units"</t>
        </r>
      </text>
    </comment>
    <comment ref="K24" authorId="1">
      <text>
        <r>
          <rPr>
            <sz val="8"/>
            <rFont val="Tahoma"/>
            <family val="0"/>
          </rPr>
          <t>Gain measured in % of the average value of the plus trees.</t>
        </r>
      </text>
    </comment>
    <comment ref="M14" authorId="1">
      <text>
        <r>
          <rPr>
            <sz val="8"/>
            <rFont val="Tahoma"/>
            <family val="0"/>
          </rPr>
          <t>Percent of the average performance of plus trees</t>
        </r>
      </text>
    </comment>
    <comment ref="M15" authorId="1">
      <text>
        <r>
          <rPr>
            <sz val="8"/>
            <rFont val="Tahoma"/>
            <family val="0"/>
          </rPr>
          <t>Percent of the average performance of plus trees</t>
        </r>
      </text>
    </comment>
    <comment ref="M24" authorId="1">
      <text>
        <r>
          <rPr>
            <sz val="8"/>
            <rFont val="Tahoma"/>
            <family val="0"/>
          </rPr>
          <t>Percent of the average performance of plus trees</t>
        </r>
      </text>
    </comment>
    <comment ref="M25" authorId="1">
      <text>
        <r>
          <rPr>
            <sz val="8"/>
            <rFont val="Tahoma"/>
            <family val="0"/>
          </rPr>
          <t>Percent of the average performance of plus trees</t>
        </r>
      </text>
    </comment>
    <comment ref="M34" authorId="1">
      <text>
        <r>
          <rPr>
            <sz val="8"/>
            <rFont val="Tahoma"/>
            <family val="0"/>
          </rPr>
          <t>Percent of the average performance of plus trees</t>
        </r>
      </text>
    </comment>
    <comment ref="M35" authorId="1">
      <text>
        <r>
          <rPr>
            <sz val="8"/>
            <rFont val="Tahoma"/>
            <family val="0"/>
          </rPr>
          <t>Percent of the average performance of plus trees</t>
        </r>
      </text>
    </comment>
    <comment ref="M46" authorId="1">
      <text>
        <r>
          <rPr>
            <sz val="8"/>
            <rFont val="Tahoma"/>
            <family val="0"/>
          </rPr>
          <t>Percent of the average performance of plus trees</t>
        </r>
      </text>
    </comment>
    <comment ref="M47" authorId="1">
      <text>
        <r>
          <rPr>
            <sz val="8"/>
            <rFont val="Tahoma"/>
            <family val="0"/>
          </rPr>
          <t>Percent of the average performance of plus trees</t>
        </r>
      </text>
    </comment>
    <comment ref="M58" authorId="1">
      <text>
        <r>
          <rPr>
            <sz val="8"/>
            <rFont val="Tahoma"/>
            <family val="0"/>
          </rPr>
          <t>Percent of the average performance of plus trees</t>
        </r>
      </text>
    </comment>
    <comment ref="M59" authorId="1">
      <text>
        <r>
          <rPr>
            <sz val="8"/>
            <rFont val="Tahoma"/>
            <family val="0"/>
          </rPr>
          <t>Percent of the average performance of plus trees</t>
        </r>
      </text>
    </comment>
    <comment ref="K33" authorId="1">
      <text>
        <r>
          <rPr>
            <sz val="8"/>
            <rFont val="Tahoma"/>
            <family val="0"/>
          </rPr>
          <t>Gain measured in fractions of additive standard deviation of the goal (mature) character. "Relative units"</t>
        </r>
      </text>
    </comment>
    <comment ref="K34" authorId="1">
      <text>
        <r>
          <rPr>
            <sz val="8"/>
            <rFont val="Tahoma"/>
            <family val="0"/>
          </rPr>
          <t>Gain measured in % of the average value of the plus trees.</t>
        </r>
      </text>
    </comment>
    <comment ref="K35" authorId="1">
      <text>
        <r>
          <rPr>
            <sz val="8"/>
            <rFont val="Tahoma"/>
            <family val="0"/>
          </rPr>
          <t>Breeding value measured in % of the average performance of the plus trees. "Absolute units".</t>
        </r>
      </text>
    </comment>
    <comment ref="K45" authorId="1">
      <text>
        <r>
          <rPr>
            <sz val="8"/>
            <rFont val="Tahoma"/>
            <family val="0"/>
          </rPr>
          <t>Gain measured in fractions of additive standard deviation of the goal (mature) character. "Relative units"</t>
        </r>
      </text>
    </comment>
    <comment ref="K46" authorId="1">
      <text>
        <r>
          <rPr>
            <sz val="8"/>
            <rFont val="Tahoma"/>
            <family val="0"/>
          </rPr>
          <t>Gain measured in % of the average value of the plus trees.</t>
        </r>
      </text>
    </comment>
    <comment ref="K47" authorId="1">
      <text>
        <r>
          <rPr>
            <sz val="8"/>
            <rFont val="Tahoma"/>
            <family val="0"/>
          </rPr>
          <t>Breeding value measured in % of the average performance of the plus trees. "Absolute units".</t>
        </r>
      </text>
    </comment>
    <comment ref="K57" authorId="1">
      <text>
        <r>
          <rPr>
            <sz val="8"/>
            <rFont val="Tahoma"/>
            <family val="0"/>
          </rPr>
          <t>Gain measured in fractions of additive standard deviation of the goal (mature) character. "Relative units"</t>
        </r>
      </text>
    </comment>
    <comment ref="K58" authorId="1">
      <text>
        <r>
          <rPr>
            <sz val="8"/>
            <rFont val="Tahoma"/>
            <family val="0"/>
          </rPr>
          <t>Gain measured in % of the average value of the plus trees.</t>
        </r>
      </text>
    </comment>
    <comment ref="K59" authorId="1">
      <text>
        <r>
          <rPr>
            <sz val="8"/>
            <rFont val="Tahoma"/>
            <family val="0"/>
          </rPr>
          <t>Breeding value measured in % of the average performance of the plus trees. "Absolute units".</t>
        </r>
      </text>
    </comment>
    <comment ref="V12" authorId="1">
      <text>
        <r>
          <rPr>
            <sz val="8"/>
            <rFont val="Tahoma"/>
            <family val="0"/>
          </rPr>
          <t>T</t>
        </r>
        <r>
          <rPr>
            <vertAlign val="subscript"/>
            <sz val="8"/>
            <rFont val="Tahoma"/>
            <family val="2"/>
          </rPr>
          <t>&lt;</t>
        </r>
        <r>
          <rPr>
            <b/>
            <vertAlign val="subscript"/>
            <sz val="8"/>
            <color indexed="57"/>
            <rFont val="Tahoma"/>
            <family val="2"/>
          </rPr>
          <t>p</t>
        </r>
        <r>
          <rPr>
            <sz val="8"/>
            <rFont val="Tahoma"/>
            <family val="0"/>
          </rPr>
          <t xml:space="preserve">=Time before </t>
        </r>
        <r>
          <rPr>
            <b/>
            <sz val="8"/>
            <color indexed="57"/>
            <rFont val="Tahoma"/>
            <family val="2"/>
          </rPr>
          <t>p</t>
        </r>
        <r>
          <rPr>
            <sz val="8"/>
            <rFont val="Tahoma"/>
            <family val="0"/>
          </rPr>
          <t>lanting selection trial</t>
        </r>
      </text>
    </comment>
    <comment ref="W12" authorId="1">
      <text>
        <r>
          <rPr>
            <sz val="8"/>
            <rFont val="Tahoma"/>
            <family val="0"/>
          </rPr>
          <t>T</t>
        </r>
        <r>
          <rPr>
            <vertAlign val="subscript"/>
            <sz val="8"/>
            <rFont val="Tahoma"/>
            <family val="2"/>
          </rPr>
          <t>&gt;</t>
        </r>
        <r>
          <rPr>
            <b/>
            <vertAlign val="subscript"/>
            <sz val="8"/>
            <color indexed="57"/>
            <rFont val="Tahoma"/>
            <family val="2"/>
          </rPr>
          <t>m</t>
        </r>
        <r>
          <rPr>
            <sz val="8"/>
            <rFont val="Tahoma"/>
            <family val="0"/>
          </rPr>
          <t xml:space="preserve">=Time after </t>
        </r>
        <r>
          <rPr>
            <b/>
            <sz val="8"/>
            <color indexed="57"/>
            <rFont val="Tahoma"/>
            <family val="2"/>
          </rPr>
          <t>m</t>
        </r>
        <r>
          <rPr>
            <sz val="8"/>
            <rFont val="Tahoma"/>
            <family val="0"/>
          </rPr>
          <t>easuring selection trial</t>
        </r>
      </text>
    </comment>
    <comment ref="V22" authorId="1">
      <text>
        <r>
          <rPr>
            <sz val="8"/>
            <rFont val="Tahoma"/>
            <family val="0"/>
          </rPr>
          <t>T</t>
        </r>
        <r>
          <rPr>
            <vertAlign val="subscript"/>
            <sz val="8"/>
            <rFont val="Tahoma"/>
            <family val="2"/>
          </rPr>
          <t>&lt;</t>
        </r>
        <r>
          <rPr>
            <b/>
            <vertAlign val="subscript"/>
            <sz val="8"/>
            <color indexed="57"/>
            <rFont val="Tahoma"/>
            <family val="2"/>
          </rPr>
          <t>p</t>
        </r>
        <r>
          <rPr>
            <sz val="8"/>
            <rFont val="Tahoma"/>
            <family val="0"/>
          </rPr>
          <t xml:space="preserve">=Time before </t>
        </r>
        <r>
          <rPr>
            <b/>
            <sz val="8"/>
            <color indexed="57"/>
            <rFont val="Tahoma"/>
            <family val="2"/>
          </rPr>
          <t>p</t>
        </r>
        <r>
          <rPr>
            <sz val="8"/>
            <rFont val="Tahoma"/>
            <family val="0"/>
          </rPr>
          <t>lanting selection trial</t>
        </r>
      </text>
    </comment>
    <comment ref="V32" authorId="1">
      <text>
        <r>
          <rPr>
            <sz val="8"/>
            <rFont val="Tahoma"/>
            <family val="0"/>
          </rPr>
          <t>T</t>
        </r>
        <r>
          <rPr>
            <vertAlign val="subscript"/>
            <sz val="8"/>
            <rFont val="Tahoma"/>
            <family val="2"/>
          </rPr>
          <t>&lt;</t>
        </r>
        <r>
          <rPr>
            <b/>
            <vertAlign val="subscript"/>
            <sz val="8"/>
            <color indexed="57"/>
            <rFont val="Tahoma"/>
            <family val="2"/>
          </rPr>
          <t>p</t>
        </r>
        <r>
          <rPr>
            <sz val="8"/>
            <rFont val="Tahoma"/>
            <family val="0"/>
          </rPr>
          <t xml:space="preserve">=Time before </t>
        </r>
        <r>
          <rPr>
            <b/>
            <sz val="8"/>
            <color indexed="57"/>
            <rFont val="Tahoma"/>
            <family val="2"/>
          </rPr>
          <t>p</t>
        </r>
        <r>
          <rPr>
            <sz val="8"/>
            <rFont val="Tahoma"/>
            <family val="0"/>
          </rPr>
          <t>lanting selection trial</t>
        </r>
      </text>
    </comment>
    <comment ref="V44" authorId="1">
      <text>
        <r>
          <rPr>
            <sz val="8"/>
            <rFont val="Tahoma"/>
            <family val="0"/>
          </rPr>
          <t>T</t>
        </r>
        <r>
          <rPr>
            <vertAlign val="subscript"/>
            <sz val="8"/>
            <rFont val="Tahoma"/>
            <family val="2"/>
          </rPr>
          <t>&lt;</t>
        </r>
        <r>
          <rPr>
            <b/>
            <vertAlign val="subscript"/>
            <sz val="8"/>
            <color indexed="57"/>
            <rFont val="Tahoma"/>
            <family val="2"/>
          </rPr>
          <t>p</t>
        </r>
        <r>
          <rPr>
            <sz val="8"/>
            <rFont val="Tahoma"/>
            <family val="0"/>
          </rPr>
          <t xml:space="preserve">=Time before </t>
        </r>
        <r>
          <rPr>
            <b/>
            <sz val="8"/>
            <color indexed="57"/>
            <rFont val="Tahoma"/>
            <family val="2"/>
          </rPr>
          <t>p</t>
        </r>
        <r>
          <rPr>
            <sz val="8"/>
            <rFont val="Tahoma"/>
            <family val="0"/>
          </rPr>
          <t>lanting selection trial</t>
        </r>
      </text>
    </comment>
    <comment ref="V56" authorId="1">
      <text>
        <r>
          <rPr>
            <sz val="8"/>
            <rFont val="Tahoma"/>
            <family val="0"/>
          </rPr>
          <t>T</t>
        </r>
        <r>
          <rPr>
            <vertAlign val="subscript"/>
            <sz val="8"/>
            <rFont val="Tahoma"/>
            <family val="2"/>
          </rPr>
          <t>&lt;</t>
        </r>
        <r>
          <rPr>
            <b/>
            <vertAlign val="subscript"/>
            <sz val="8"/>
            <color indexed="57"/>
            <rFont val="Tahoma"/>
            <family val="2"/>
          </rPr>
          <t>p</t>
        </r>
        <r>
          <rPr>
            <sz val="8"/>
            <rFont val="Tahoma"/>
            <family val="0"/>
          </rPr>
          <t xml:space="preserve">=Time before </t>
        </r>
        <r>
          <rPr>
            <b/>
            <sz val="8"/>
            <color indexed="57"/>
            <rFont val="Tahoma"/>
            <family val="2"/>
          </rPr>
          <t>p</t>
        </r>
        <r>
          <rPr>
            <sz val="8"/>
            <rFont val="Tahoma"/>
            <family val="0"/>
          </rPr>
          <t>lanting selection trial</t>
        </r>
      </text>
    </comment>
    <comment ref="W22" authorId="1">
      <text>
        <r>
          <rPr>
            <sz val="8"/>
            <rFont val="Tahoma"/>
            <family val="0"/>
          </rPr>
          <t>T</t>
        </r>
        <r>
          <rPr>
            <vertAlign val="subscript"/>
            <sz val="8"/>
            <rFont val="Tahoma"/>
            <family val="2"/>
          </rPr>
          <t>&gt;</t>
        </r>
        <r>
          <rPr>
            <b/>
            <vertAlign val="subscript"/>
            <sz val="8"/>
            <color indexed="57"/>
            <rFont val="Tahoma"/>
            <family val="2"/>
          </rPr>
          <t>m</t>
        </r>
        <r>
          <rPr>
            <sz val="8"/>
            <rFont val="Tahoma"/>
            <family val="0"/>
          </rPr>
          <t xml:space="preserve">=Time after </t>
        </r>
        <r>
          <rPr>
            <b/>
            <sz val="8"/>
            <color indexed="57"/>
            <rFont val="Tahoma"/>
            <family val="2"/>
          </rPr>
          <t>m</t>
        </r>
        <r>
          <rPr>
            <sz val="8"/>
            <rFont val="Tahoma"/>
            <family val="0"/>
          </rPr>
          <t>easuring selection trial</t>
        </r>
      </text>
    </comment>
    <comment ref="W32" authorId="1">
      <text>
        <r>
          <rPr>
            <sz val="8"/>
            <rFont val="Tahoma"/>
            <family val="0"/>
          </rPr>
          <t>T</t>
        </r>
        <r>
          <rPr>
            <vertAlign val="subscript"/>
            <sz val="8"/>
            <rFont val="Tahoma"/>
            <family val="2"/>
          </rPr>
          <t>&gt;</t>
        </r>
        <r>
          <rPr>
            <b/>
            <vertAlign val="subscript"/>
            <sz val="8"/>
            <color indexed="57"/>
            <rFont val="Tahoma"/>
            <family val="2"/>
          </rPr>
          <t>m</t>
        </r>
        <r>
          <rPr>
            <sz val="8"/>
            <rFont val="Tahoma"/>
            <family val="0"/>
          </rPr>
          <t xml:space="preserve">=Time after </t>
        </r>
        <r>
          <rPr>
            <b/>
            <sz val="8"/>
            <color indexed="57"/>
            <rFont val="Tahoma"/>
            <family val="2"/>
          </rPr>
          <t>m</t>
        </r>
        <r>
          <rPr>
            <sz val="8"/>
            <rFont val="Tahoma"/>
            <family val="0"/>
          </rPr>
          <t>easuring selection trial</t>
        </r>
      </text>
    </comment>
    <comment ref="W44" authorId="1">
      <text>
        <r>
          <rPr>
            <sz val="8"/>
            <rFont val="Tahoma"/>
            <family val="0"/>
          </rPr>
          <t>T</t>
        </r>
        <r>
          <rPr>
            <vertAlign val="subscript"/>
            <sz val="8"/>
            <rFont val="Tahoma"/>
            <family val="2"/>
          </rPr>
          <t>&gt;</t>
        </r>
        <r>
          <rPr>
            <b/>
            <vertAlign val="subscript"/>
            <sz val="8"/>
            <color indexed="57"/>
            <rFont val="Tahoma"/>
            <family val="2"/>
          </rPr>
          <t>m</t>
        </r>
        <r>
          <rPr>
            <sz val="8"/>
            <rFont val="Tahoma"/>
            <family val="0"/>
          </rPr>
          <t xml:space="preserve">=Time after </t>
        </r>
        <r>
          <rPr>
            <b/>
            <sz val="8"/>
            <color indexed="57"/>
            <rFont val="Tahoma"/>
            <family val="2"/>
          </rPr>
          <t>m</t>
        </r>
        <r>
          <rPr>
            <sz val="8"/>
            <rFont val="Tahoma"/>
            <family val="0"/>
          </rPr>
          <t>easuring selection trial</t>
        </r>
      </text>
    </comment>
    <comment ref="W56" authorId="1">
      <text>
        <r>
          <rPr>
            <sz val="8"/>
            <rFont val="Tahoma"/>
            <family val="0"/>
          </rPr>
          <t>T</t>
        </r>
        <r>
          <rPr>
            <vertAlign val="subscript"/>
            <sz val="8"/>
            <rFont val="Tahoma"/>
            <family val="2"/>
          </rPr>
          <t>&gt;</t>
        </r>
        <r>
          <rPr>
            <b/>
            <vertAlign val="subscript"/>
            <sz val="8"/>
            <color indexed="57"/>
            <rFont val="Tahoma"/>
            <family val="2"/>
          </rPr>
          <t>m</t>
        </r>
        <r>
          <rPr>
            <sz val="8"/>
            <rFont val="Tahoma"/>
            <family val="0"/>
          </rPr>
          <t xml:space="preserve">=Time after </t>
        </r>
        <r>
          <rPr>
            <b/>
            <sz val="8"/>
            <color indexed="57"/>
            <rFont val="Tahoma"/>
            <family val="2"/>
          </rPr>
          <t>m</t>
        </r>
        <r>
          <rPr>
            <sz val="8"/>
            <rFont val="Tahoma"/>
            <family val="0"/>
          </rPr>
          <t>easuring selection trial</t>
        </r>
      </text>
    </comment>
    <comment ref="Y13" authorId="1">
      <text>
        <r>
          <rPr>
            <sz val="8"/>
            <rFont val="Tahoma"/>
            <family val="0"/>
          </rPr>
          <t>Stand seed comparison is the genetic value of the unimproved non selected non plus trees reduced by inbreeding from within tree selfing (suggested 0.7%) and inbreeding from related trees in the stand (plus trees in seed orchards are from different stands, suggested 2%)</t>
        </r>
      </text>
    </comment>
    <comment ref="X4" authorId="1">
      <text>
        <r>
          <rPr>
            <b/>
            <sz val="8"/>
            <rFont val="Tahoma"/>
            <family val="0"/>
          </rPr>
          <t>Dag Lindgren:</t>
        </r>
        <r>
          <rPr>
            <sz val="8"/>
            <rFont val="Tahoma"/>
            <family val="0"/>
          </rPr>
          <t xml:space="preserve">
In the current version this is blank</t>
        </r>
      </text>
    </comment>
    <comment ref="W15" authorId="1">
      <text>
        <r>
          <rPr>
            <b/>
            <sz val="8"/>
            <rFont val="Tahoma"/>
            <family val="0"/>
          </rPr>
          <t>Dag Lindgren:</t>
        </r>
        <r>
          <rPr>
            <sz val="8"/>
            <rFont val="Tahoma"/>
            <family val="0"/>
          </rPr>
          <t xml:space="preserve">
Note that it is wiser to use clones in different proportions, but this you have to use other worksheets to study</t>
        </r>
      </text>
    </comment>
    <comment ref="Y18" authorId="1">
      <text>
        <r>
          <rPr>
            <b/>
            <sz val="8"/>
            <rFont val="Tahoma"/>
            <family val="0"/>
          </rPr>
          <t>Dag Lindgren:</t>
        </r>
        <r>
          <rPr>
            <sz val="8"/>
            <rFont val="Tahoma"/>
            <family val="0"/>
          </rPr>
          <t xml:space="preserve">
No related clones!
Assume parents paired in SPM and the progeny used. When I disregard an importan gain from selection in progeny.
2/n of the matings will be within full sibs (different full sib families probably are equally fertile). 
The filled seed yield is reduced to 80%. The inbreeding depression is 25% and added plant loss and extra ecological space are negiable. There is a marginal effect of not having full sibs close neighbours which is neglected. Thus 0.8*25*2/n = 40/n (%) of production is lost by mating between full sibs.
Rather marginal (negliable) reductions in filled seed yield and plant success in nursery.</t>
        </r>
      </text>
    </comment>
    <comment ref="Y15" authorId="1">
      <text>
        <r>
          <rPr>
            <sz val="8"/>
            <rFont val="Tahoma"/>
            <family val="0"/>
          </rPr>
          <t>Number of clones in the seed orchard</t>
        </r>
      </text>
    </comment>
    <comment ref="T12" authorId="1">
      <text>
        <r>
          <rPr>
            <sz val="8"/>
            <rFont val="Tahoma"/>
            <family val="0"/>
          </rPr>
          <t>Genetic value of selections in percent of the plus tree average.</t>
        </r>
      </text>
    </comment>
    <comment ref="Q23" authorId="1">
      <text>
        <r>
          <rPr>
            <sz val="8"/>
            <rFont val="Tahoma"/>
            <family val="0"/>
          </rPr>
          <t>The number of years which has passed since activities were initiated</t>
        </r>
      </text>
    </comment>
    <comment ref="R23" authorId="1">
      <text>
        <r>
          <rPr>
            <sz val="8"/>
            <rFont val="Tahoma"/>
            <family val="0"/>
          </rPr>
          <t>The age at which selections are made as a fraction of rotation age</t>
        </r>
      </text>
    </comment>
    <comment ref="S23" authorId="1">
      <text>
        <r>
          <rPr>
            <sz val="8"/>
            <rFont val="Tahoma"/>
            <family val="2"/>
          </rPr>
          <t>Gain in units of standard deviation of the mature character. The function rg gives the correlatation between the juvenile measurement and the mature goal character.</t>
        </r>
      </text>
    </comment>
    <comment ref="T23" authorId="1">
      <text>
        <r>
          <rPr>
            <sz val="8"/>
            <rFont val="Tahoma"/>
            <family val="0"/>
          </rPr>
          <t>Genetic value of selections in percent of the plus tree average.</t>
        </r>
      </text>
    </comment>
    <comment ref="Q33" authorId="1">
      <text>
        <r>
          <rPr>
            <sz val="8"/>
            <rFont val="Tahoma"/>
            <family val="0"/>
          </rPr>
          <t>The number of years which has passed since activities were initiated</t>
        </r>
      </text>
    </comment>
    <comment ref="R33" authorId="1">
      <text>
        <r>
          <rPr>
            <sz val="8"/>
            <rFont val="Tahoma"/>
            <family val="0"/>
          </rPr>
          <t>The age at which selections are made as a fraction of rotation age</t>
        </r>
      </text>
    </comment>
    <comment ref="S33" authorId="1">
      <text>
        <r>
          <rPr>
            <sz val="8"/>
            <rFont val="Tahoma"/>
            <family val="2"/>
          </rPr>
          <t>Gain in units of standard deviation of the mature character. The function rg gives the correlatation between the juvenile measurement and the mature goal character.</t>
        </r>
      </text>
    </comment>
    <comment ref="T33" authorId="1">
      <text>
        <r>
          <rPr>
            <sz val="8"/>
            <rFont val="Tahoma"/>
            <family val="0"/>
          </rPr>
          <t>Genetic value of selections in percent of the plus tree average.</t>
        </r>
      </text>
    </comment>
    <comment ref="Q45" authorId="1">
      <text>
        <r>
          <rPr>
            <sz val="8"/>
            <rFont val="Tahoma"/>
            <family val="0"/>
          </rPr>
          <t>The number of years which has passed since activities were initiated</t>
        </r>
      </text>
    </comment>
    <comment ref="R45" authorId="1">
      <text>
        <r>
          <rPr>
            <sz val="8"/>
            <rFont val="Tahoma"/>
            <family val="0"/>
          </rPr>
          <t>The age at which selections are made as a fraction of rotation age</t>
        </r>
      </text>
    </comment>
    <comment ref="S45" authorId="1">
      <text>
        <r>
          <rPr>
            <sz val="8"/>
            <rFont val="Tahoma"/>
            <family val="2"/>
          </rPr>
          <t>Gain in units of standard deviation of the mature character. The function rg gives the correlatation between the juvenile measurement and the mature goal character.</t>
        </r>
      </text>
    </comment>
    <comment ref="T45" authorId="1">
      <text>
        <r>
          <rPr>
            <sz val="8"/>
            <rFont val="Tahoma"/>
            <family val="0"/>
          </rPr>
          <t>Genetic value of selections in percent of the plus tree average.</t>
        </r>
      </text>
    </comment>
    <comment ref="Q57" authorId="1">
      <text>
        <r>
          <rPr>
            <sz val="8"/>
            <rFont val="Tahoma"/>
            <family val="0"/>
          </rPr>
          <t>The number of years which has passed since activities were initiated</t>
        </r>
      </text>
    </comment>
    <comment ref="R57" authorId="1">
      <text>
        <r>
          <rPr>
            <sz val="8"/>
            <rFont val="Tahoma"/>
            <family val="0"/>
          </rPr>
          <t>The age at which selections are made as a fraction of rotation age</t>
        </r>
      </text>
    </comment>
    <comment ref="S57" authorId="1">
      <text>
        <r>
          <rPr>
            <sz val="8"/>
            <rFont val="Tahoma"/>
            <family val="2"/>
          </rPr>
          <t>Gain in units of standard deviation of the mature character. The function rg gives the correlatation between the juvenile measurement and the mature goal character.</t>
        </r>
      </text>
    </comment>
    <comment ref="T57" authorId="1">
      <text>
        <r>
          <rPr>
            <sz val="8"/>
            <rFont val="Tahoma"/>
            <family val="0"/>
          </rPr>
          <t>Genetic value of selections in percent of the plus tree average.</t>
        </r>
      </text>
    </comment>
    <comment ref="S29" authorId="1">
      <text>
        <r>
          <rPr>
            <sz val="8"/>
            <rFont val="Tahoma"/>
            <family val="0"/>
          </rPr>
          <t>This is genetic gain in standard deviations of the mature character if selection made at mature age.</t>
        </r>
      </text>
    </comment>
    <comment ref="S40" authorId="1">
      <text>
        <r>
          <rPr>
            <sz val="8"/>
            <rFont val="Tahoma"/>
            <family val="0"/>
          </rPr>
          <t>This is genetic gain in standard deviations of the mature character if selection made at mature age.</t>
        </r>
      </text>
    </comment>
    <comment ref="S52" authorId="1">
      <text>
        <r>
          <rPr>
            <sz val="8"/>
            <rFont val="Tahoma"/>
            <family val="0"/>
          </rPr>
          <t>This is genetic gain in standard deviations of the mature character if selection made at mature age.</t>
        </r>
      </text>
    </comment>
    <comment ref="S63" authorId="1">
      <text>
        <r>
          <rPr>
            <sz val="8"/>
            <rFont val="Tahoma"/>
            <family val="0"/>
          </rPr>
          <t>This is genetic gain in standard deviations of the mature character if selection made at mature age.</t>
        </r>
      </text>
    </comment>
    <comment ref="N10" authorId="1">
      <text>
        <r>
          <rPr>
            <sz val="8"/>
            <rFont val="Tahoma"/>
            <family val="0"/>
          </rPr>
          <t>Breeding Value of normal trees (BV0) functioning as parents to open-pollination and reference to gain of selections. A suggested value for initiation is 90, although 93 may be more relevant for Swedish breeding</t>
        </r>
      </text>
    </comment>
    <comment ref="O23" authorId="1">
      <text>
        <r>
          <rPr>
            <sz val="8"/>
            <rFont val="Tahoma"/>
            <family val="0"/>
          </rPr>
          <t>The number of experimental plants used for the experiment</t>
        </r>
      </text>
    </comment>
    <comment ref="O24" authorId="1">
      <text>
        <r>
          <rPr>
            <sz val="8"/>
            <rFont val="Tahoma"/>
            <family val="0"/>
          </rPr>
          <t>The cost of the experiment in the cost units given.</t>
        </r>
      </text>
    </comment>
    <comment ref="O33" authorId="1">
      <text>
        <r>
          <rPr>
            <sz val="8"/>
            <rFont val="Tahoma"/>
            <family val="0"/>
          </rPr>
          <t>The number of experimental plants used for the experiment</t>
        </r>
      </text>
    </comment>
    <comment ref="O34" authorId="1">
      <text>
        <r>
          <rPr>
            <sz val="8"/>
            <rFont val="Tahoma"/>
            <family val="0"/>
          </rPr>
          <t>The cost of the experiment in the cost units given.</t>
        </r>
      </text>
    </comment>
    <comment ref="O45" authorId="1">
      <text>
        <r>
          <rPr>
            <sz val="8"/>
            <rFont val="Tahoma"/>
            <family val="0"/>
          </rPr>
          <t>The number of experimental plants used for the experiment</t>
        </r>
      </text>
    </comment>
    <comment ref="O46" authorId="1">
      <text>
        <r>
          <rPr>
            <sz val="8"/>
            <rFont val="Tahoma"/>
            <family val="0"/>
          </rPr>
          <t>The cost of the experiment in the cost units given.</t>
        </r>
      </text>
    </comment>
    <comment ref="O57" authorId="1">
      <text>
        <r>
          <rPr>
            <sz val="8"/>
            <rFont val="Tahoma"/>
            <family val="0"/>
          </rPr>
          <t>The number of experimental plants used for the experiment</t>
        </r>
      </text>
    </comment>
    <comment ref="Y16" authorId="1">
      <text>
        <r>
          <rPr>
            <sz val="8"/>
            <rFont val="Tahoma"/>
            <family val="0"/>
          </rPr>
          <t>Genetic value of genotypes functioning as parents in seed orchard</t>
        </r>
      </text>
    </comment>
    <comment ref="Y17" authorId="1">
      <text>
        <r>
          <rPr>
            <b/>
            <sz val="8"/>
            <rFont val="Tahoma"/>
            <family val="0"/>
          </rPr>
          <t>Dag Lindgren 02-10-11:</t>
        </r>
        <r>
          <rPr>
            <sz val="8"/>
            <rFont val="Tahoma"/>
            <family val="0"/>
          </rPr>
          <t xml:space="preserve">
Only selfing. Selfing occurs in two ways: Within grafts and between grafts. Within grafts is not affected by clonal number (however you can think on other ways of reducing it, e.g. harvesting only cones in top of grafts or selecting against selfcompatibility). Within grafts selfing is assumed to reduce forest production 0.7 %.  Among grafts approximation of frequency of selfing among seeds is 1.5*0.3/n there n is clonal number, 1.5 is for variations in flowering and 0.3 is for zygote mortality. Selfed seeds will reduce production by more than 50% of the frequency of selfed seeds, but some die in the nursery and some of the free ecological space is used by neighboors, so I count 40% reduction. That means -40*1.5*0.3/n = 18/n (%)
Thus reduction is 0.7 + 18/n.
I believe this figures are rather high than low estimates, but it seems right. Actually a higher clone number should be chosen as gene diversity has a value from other points of view than selfing. It should be remembered that stand seeds suffer from around 1% production loss from selfing
In addition to reduced forest production, selfing will decrease the yield of filled seeds and cause a plant loss in nursery.  </t>
        </r>
      </text>
    </comment>
    <comment ref="Y20" authorId="1">
      <text>
        <r>
          <rPr>
            <sz val="8"/>
            <rFont val="Tahoma"/>
            <family val="0"/>
          </rPr>
          <t>Reduction for assumed pollen migration. 
Here is (simplified) assumed 40% pollen migration of given quality for unimproved trees. That means a deducion of 0.4*(100-given value of unimproved trees).
Positive effects of inbreeding and diversity are neglected at the moment</t>
        </r>
      </text>
    </comment>
    <comment ref="W47" authorId="1">
      <text>
        <r>
          <rPr>
            <b/>
            <sz val="8"/>
            <rFont val="Tahoma"/>
            <family val="0"/>
          </rPr>
          <t>Dag Lindgren:</t>
        </r>
        <r>
          <rPr>
            <sz val="8"/>
            <rFont val="Tahoma"/>
            <family val="0"/>
          </rPr>
          <t xml:space="preserve">
Note that it is wiser to use clones in different proportions, but this you have to use other worksheets to study</t>
        </r>
      </text>
    </comment>
    <comment ref="Y50" authorId="1">
      <text>
        <r>
          <rPr>
            <b/>
            <sz val="8"/>
            <rFont val="Tahoma"/>
            <family val="0"/>
          </rPr>
          <t>Dag Lindgren:</t>
        </r>
        <r>
          <rPr>
            <sz val="8"/>
            <rFont val="Tahoma"/>
            <family val="0"/>
          </rPr>
          <t xml:space="preserve">
Parents paired with SPM and selections from the progeny used in the orchard. 
 The filled seed yield is reduced to 80%. The inbreeding depression loss  is F and added plant loss and extra ecological space are negiable. There is a marginal effect of not having full sibs close neighbours which is neglected. Thus 0.8*F is lost 
Rather marginal (negliable) reductions in filled seed yield and plant success in nursery.</t>
        </r>
      </text>
    </comment>
    <comment ref="Y52" authorId="1">
      <text>
        <r>
          <rPr>
            <b/>
            <sz val="8"/>
            <rFont val="Tahoma"/>
            <family val="0"/>
          </rPr>
          <t>Dag Lindgren:</t>
        </r>
        <r>
          <rPr>
            <sz val="8"/>
            <rFont val="Tahoma"/>
            <family val="0"/>
          </rPr>
          <t xml:space="preserve">
Reduction for assumed pollen migration. 
Here is (simplified) assumed 40% pollen migration of given quality for unimproved trees. That means a deducion of 0.4*(100-given value of unimproved trees).
Positive effects of inbreeding and diversity are neglected at the moment</t>
        </r>
      </text>
    </comment>
    <comment ref="U12" authorId="1">
      <text>
        <r>
          <rPr>
            <b/>
            <sz val="8"/>
            <rFont val="Tahoma"/>
            <family val="0"/>
          </rPr>
          <t>Dag Lindgren:</t>
        </r>
        <r>
          <rPr>
            <sz val="8"/>
            <rFont val="Tahoma"/>
            <family val="0"/>
          </rPr>
          <t xml:space="preserve">
Seed orchard benefit (see right for specification)</t>
        </r>
      </text>
    </comment>
    <comment ref="U45" authorId="1">
      <text>
        <r>
          <rPr>
            <b/>
            <sz val="8"/>
            <rFont val="Tahoma"/>
            <family val="0"/>
          </rPr>
          <t>Dag Lindgren:</t>
        </r>
        <r>
          <rPr>
            <sz val="8"/>
            <rFont val="Tahoma"/>
            <family val="0"/>
          </rPr>
          <t xml:space="preserve">
Seed orchard benefit (see right for specification)</t>
        </r>
      </text>
    </comment>
    <comment ref="L33" authorId="1">
      <text>
        <r>
          <rPr>
            <b/>
            <sz val="8"/>
            <rFont val="Tahoma"/>
            <family val="0"/>
          </rPr>
          <t>Note that these calculations assume the fathers in OP to have the same BV as the mother population</t>
        </r>
      </text>
    </comment>
    <comment ref="L34" authorId="1">
      <text>
        <r>
          <rPr>
            <b/>
            <sz val="8"/>
            <rFont val="Tahoma"/>
            <family val="0"/>
          </rPr>
          <t>Note that these calculations assume the fathers in OP to have the same BV as the mother population</t>
        </r>
      </text>
    </comment>
    <comment ref="L35" authorId="1">
      <text>
        <r>
          <rPr>
            <b/>
            <sz val="8"/>
            <rFont val="Tahoma"/>
            <family val="0"/>
          </rPr>
          <t>Note that these calculations assume the fathers in OP to have the same BV as the mother population</t>
        </r>
      </text>
    </comment>
    <comment ref="L61" authorId="1">
      <text>
        <r>
          <rPr>
            <sz val="8"/>
            <rFont val="Tahoma"/>
            <family val="0"/>
          </rPr>
          <t>This is the correlation between the breeding value (additive genetic value) and the index used for estimating it. The gain is proportional to this correlation.</t>
        </r>
      </text>
    </comment>
    <comment ref="D46" authorId="1">
      <text>
        <r>
          <rPr>
            <sz val="8"/>
            <rFont val="Tahoma"/>
            <family val="0"/>
          </rPr>
          <t xml:space="preserve">This is the number of plants in a full-sib family in test.
Suggested initial setting is </t>
        </r>
        <r>
          <rPr>
            <sz val="8"/>
            <color indexed="10"/>
            <rFont val="Tahoma"/>
            <family val="2"/>
          </rPr>
          <t>30</t>
        </r>
      </text>
    </comment>
    <comment ref="D49" authorId="1">
      <text>
        <r>
          <rPr>
            <sz val="8"/>
            <rFont val="Tahoma"/>
            <family val="0"/>
          </rPr>
          <t xml:space="preserve">The number of selected families based on their performance in the test.
Suggested initial setting is </t>
        </r>
        <r>
          <rPr>
            <sz val="8"/>
            <color indexed="10"/>
            <rFont val="Tahoma"/>
            <family val="2"/>
          </rPr>
          <t>15</t>
        </r>
      </text>
    </comment>
    <comment ref="D47" authorId="1">
      <text>
        <r>
          <rPr>
            <sz val="8"/>
            <rFont val="Tahoma"/>
            <family val="0"/>
          </rPr>
          <t xml:space="preserve">The number of candidate  families forned by pairwise mating of the plust trees available for selection.
Suggested initial setting is </t>
        </r>
        <r>
          <rPr>
            <sz val="8"/>
            <color indexed="10"/>
            <rFont val="Tahoma"/>
            <family val="2"/>
          </rPr>
          <t>84</t>
        </r>
      </text>
    </comment>
    <comment ref="D37" authorId="1">
      <text>
        <r>
          <rPr>
            <sz val="8"/>
            <rFont val="Tahoma"/>
            <family val="0"/>
          </rPr>
          <t xml:space="preserve">The number of selected families based on their performance in the test.
Suggested initial setting is </t>
        </r>
        <r>
          <rPr>
            <sz val="8"/>
            <color indexed="10"/>
            <rFont val="Tahoma"/>
            <family val="2"/>
          </rPr>
          <t>10</t>
        </r>
      </text>
    </comment>
    <comment ref="C38" authorId="1">
      <text>
        <r>
          <rPr>
            <sz val="8"/>
            <color indexed="10"/>
            <rFont val="Tahoma"/>
            <family val="2"/>
          </rPr>
          <t>a1</t>
        </r>
        <r>
          <rPr>
            <sz val="8"/>
            <rFont val="Tahoma"/>
            <family val="0"/>
          </rPr>
          <t xml:space="preserve"> and </t>
        </r>
        <r>
          <rPr>
            <sz val="8"/>
            <color indexed="10"/>
            <rFont val="Tahoma"/>
            <family val="2"/>
          </rPr>
          <t>a2</t>
        </r>
        <r>
          <rPr>
            <sz val="8"/>
            <rFont val="Tahoma"/>
            <family val="0"/>
          </rPr>
          <t xml:space="preserve"> are introduced mainly to divide the very complex formula in managable pieces, but </t>
        </r>
        <r>
          <rPr>
            <sz val="8"/>
            <color indexed="10"/>
            <rFont val="Tahoma"/>
            <family val="2"/>
          </rPr>
          <t>a1</t>
        </r>
        <r>
          <rPr>
            <sz val="8"/>
            <rFont val="Tahoma"/>
            <family val="0"/>
          </rPr>
          <t xml:space="preserve"> and </t>
        </r>
        <r>
          <rPr>
            <sz val="8"/>
            <color indexed="10"/>
            <rFont val="Tahoma"/>
            <family val="2"/>
          </rPr>
          <t>a2</t>
        </r>
        <r>
          <rPr>
            <sz val="8"/>
            <rFont val="Tahoma"/>
            <family val="0"/>
          </rPr>
          <t xml:space="preserve"> may be interpreted in terms of variances and covariances and their quotient in terms of genetic correlations. See Explanations for more detail.</t>
        </r>
      </text>
    </comment>
    <comment ref="I53" authorId="1">
      <text>
        <r>
          <rPr>
            <sz val="8"/>
            <color indexed="10"/>
            <rFont val="Tahoma"/>
            <family val="2"/>
          </rPr>
          <t>a1</t>
        </r>
        <r>
          <rPr>
            <sz val="8"/>
            <rFont val="Tahoma"/>
            <family val="0"/>
          </rPr>
          <t xml:space="preserve"> and </t>
        </r>
        <r>
          <rPr>
            <sz val="8"/>
            <color indexed="10"/>
            <rFont val="Tahoma"/>
            <family val="2"/>
          </rPr>
          <t>a2</t>
        </r>
        <r>
          <rPr>
            <sz val="8"/>
            <rFont val="Tahoma"/>
            <family val="0"/>
          </rPr>
          <t xml:space="preserve"> are introduced mainly to divide the very complex formula in managable pieces, but </t>
        </r>
        <r>
          <rPr>
            <sz val="8"/>
            <color indexed="10"/>
            <rFont val="Tahoma"/>
            <family val="2"/>
          </rPr>
          <t>a1</t>
        </r>
        <r>
          <rPr>
            <sz val="8"/>
            <rFont val="Tahoma"/>
            <family val="0"/>
          </rPr>
          <t xml:space="preserve"> and </t>
        </r>
        <r>
          <rPr>
            <sz val="8"/>
            <color indexed="10"/>
            <rFont val="Tahoma"/>
            <family val="2"/>
          </rPr>
          <t>a2</t>
        </r>
        <r>
          <rPr>
            <sz val="8"/>
            <rFont val="Tahoma"/>
            <family val="0"/>
          </rPr>
          <t xml:space="preserve"> may be interpreted in terms of variances and covariances and their quotient in terms of genetic correlations. See Explanations for more detail.</t>
        </r>
      </text>
    </comment>
    <comment ref="D52" authorId="1">
      <text>
        <r>
          <rPr>
            <sz val="8"/>
            <rFont val="Tahoma"/>
            <family val="0"/>
          </rPr>
          <t>The number of selections from each of the selected families</t>
        </r>
      </text>
    </comment>
    <comment ref="D40" authorId="1">
      <text>
        <r>
          <rPr>
            <sz val="8"/>
            <rFont val="Tahoma"/>
            <family val="0"/>
          </rPr>
          <t>The number of selections from each of the selected families</t>
        </r>
      </text>
    </comment>
    <comment ref="C25" authorId="1">
      <text>
        <r>
          <rPr>
            <b/>
            <sz val="8"/>
            <rFont val="Tahoma"/>
            <family val="0"/>
          </rPr>
          <t>Dag Lindgren:</t>
        </r>
        <r>
          <rPr>
            <sz val="8"/>
            <rFont val="Tahoma"/>
            <family val="0"/>
          </rPr>
          <t xml:space="preserve">
As selection actually takes place in pairs of parents, this may eaually way be considered as choosing half as many pairs among half as many candidate pairs, but this is (almost) the same selection intensity, so it does not matter.</t>
        </r>
      </text>
    </comment>
    <comment ref="Y45" authorId="1">
      <text>
        <r>
          <rPr>
            <sz val="8"/>
            <rFont val="Tahoma"/>
            <family val="0"/>
          </rPr>
          <t>Stand seed comparison is the genetic value of the unimproved non selected non plus trees reduced by inbreeding from within tree selfing (suggested 0.7%) and inbreeding from related trees in the stand (plus trees in seed orchards are from different stands, suggested 2%)</t>
        </r>
      </text>
    </comment>
    <comment ref="Y47" authorId="1">
      <text>
        <r>
          <rPr>
            <sz val="8"/>
            <rFont val="Tahoma"/>
            <family val="0"/>
          </rPr>
          <t>Number of clones in the seed orchard</t>
        </r>
      </text>
    </comment>
    <comment ref="Y48" authorId="1">
      <text>
        <r>
          <rPr>
            <sz val="8"/>
            <rFont val="Tahoma"/>
            <family val="0"/>
          </rPr>
          <t>Genetic value of genotypes functioning as parents in seed orchard</t>
        </r>
      </text>
    </comment>
    <comment ref="Y49" authorId="1">
      <text>
        <r>
          <rPr>
            <b/>
            <sz val="8"/>
            <rFont val="Tahoma"/>
            <family val="0"/>
          </rPr>
          <t>Dag Lindgren 02-10-11:</t>
        </r>
        <r>
          <rPr>
            <sz val="8"/>
            <rFont val="Tahoma"/>
            <family val="0"/>
          </rPr>
          <t xml:space="preserve">
Only selfing. Selfing occurs in two ways: Within grafts and between grafts. Within grafts is not affected by clonal number (however you can think on other ways of reducing it, e.g. harvesting only cones in top of grafts or selecting against selfcompatibility). Within grafts selfing is assumed to reduce forest production 0.7 %.  Among grafts approximation of frequency of selfing among seeds is 1.5*0.3/n there n is clonal number, 1.5 is for variations in flowering and 0.3 is for zygote mortality. Selfed seeds will reduce production by more than 50% of the frequency of selfed seeds, but some die in the nursery and some of the free ecological space is used by neighboors, so I count 40% reduction. That means -40*1.5*0.3/n = 18/n (%)
Thus reduction is 0.7 + 18/n.
I believe this figures are rather high than low estimates, but it seems right. Actually a higher clone number should be chosen as gene diversity has a value from other points of view than selfing. It should be remembered that stand seeds suffer from around 1% production loss from selfing
In addition to reduced forest production, selfing will decrease the yield of filled seeds and cause a plant loss in nursery.  </t>
        </r>
      </text>
    </comment>
  </commentList>
</comments>
</file>

<file path=xl/comments5.xml><?xml version="1.0" encoding="utf-8"?>
<comments xmlns="http://schemas.openxmlformats.org/spreadsheetml/2006/main">
  <authors>
    <author>ALICE HATCHER</author>
    <author>Dag Lindgren</author>
  </authors>
  <commentList>
    <comment ref="C5" authorId="0">
      <text>
        <r>
          <rPr>
            <sz val="10"/>
            <rFont val="Tahoma"/>
            <family val="2"/>
          </rPr>
          <t>of the observed character (or index)</t>
        </r>
      </text>
    </comment>
    <comment ref="O2" authorId="1">
      <text>
        <r>
          <rPr>
            <b/>
            <sz val="8"/>
            <rFont val="Tahoma"/>
            <family val="0"/>
          </rPr>
          <t>Cost components may be as important considerations as genetic variance components. The cost is specified in different components which depend on the number of plants and number of parents</t>
        </r>
      </text>
    </comment>
    <comment ref="O42" authorId="1">
      <text>
        <r>
          <rPr>
            <sz val="8"/>
            <rFont val="Tahoma"/>
            <family val="0"/>
          </rPr>
          <t xml:space="preserve">The cost per clone= cost per parent
</t>
        </r>
      </text>
    </comment>
    <comment ref="L41" authorId="1">
      <text>
        <r>
          <rPr>
            <b/>
            <sz val="8"/>
            <rFont val="Tahoma"/>
            <family val="0"/>
          </rPr>
          <t>Note that this is gain in breeding value, thus what you get if you put the clones into a seed orchard</t>
        </r>
      </text>
    </comment>
    <comment ref="F5" authorId="1">
      <text>
        <r>
          <rPr>
            <sz val="8"/>
            <rFont val="Tahoma"/>
            <family val="2"/>
          </rPr>
          <t>Additive variance, it is often convenient to keep this constant at 1</t>
        </r>
      </text>
    </comment>
    <comment ref="H5" authorId="1">
      <text>
        <r>
          <rPr>
            <sz val="8"/>
            <rFont val="Tahoma"/>
            <family val="2"/>
          </rPr>
          <t>Dominance variance
A suggested relevant value may be 0.25, but it is initialy set to 1 in this worksheet to make clonal forestry look profitable.</t>
        </r>
      </text>
    </comment>
    <comment ref="J5" authorId="1">
      <text>
        <r>
          <rPr>
            <b/>
            <sz val="8"/>
            <rFont val="Tahoma"/>
            <family val="0"/>
          </rPr>
          <t>Environmental variance</t>
        </r>
      </text>
    </comment>
    <comment ref="L5" authorId="1">
      <text>
        <r>
          <rPr>
            <sz val="8"/>
            <rFont val="Tahoma"/>
            <family val="2"/>
          </rPr>
          <t>Total variance among trees  (thus the sum of additive, dominance and environmental)</t>
        </r>
      </text>
    </comment>
    <comment ref="F7" authorId="1">
      <text>
        <r>
          <rPr>
            <b/>
            <sz val="8"/>
            <rFont val="Tahoma"/>
            <family val="0"/>
          </rPr>
          <t>Heritability in narrow sense</t>
        </r>
      </text>
    </comment>
    <comment ref="H7" authorId="1">
      <text>
        <r>
          <rPr>
            <b/>
            <sz val="8"/>
            <rFont val="Tahoma"/>
            <family val="0"/>
          </rPr>
          <t>Heritability in broad sense</t>
        </r>
      </text>
    </comment>
    <comment ref="G42" authorId="1">
      <text>
        <r>
          <rPr>
            <sz val="8"/>
            <rFont val="Tahoma"/>
            <family val="0"/>
          </rPr>
          <t>ramet number</t>
        </r>
      </text>
    </comment>
    <comment ref="N44" authorId="1">
      <text>
        <r>
          <rPr>
            <sz val="8"/>
            <rFont val="Tahoma"/>
            <family val="0"/>
          </rPr>
          <t>Status number=number of clones selected
(Clones are assumed unrelated and non inbred)</t>
        </r>
      </text>
    </comment>
    <comment ref="N45" authorId="1">
      <text>
        <r>
          <rPr>
            <sz val="8"/>
            <rFont val="Tahoma"/>
            <family val="2"/>
          </rPr>
          <t>Group coancestry corresponding to number of selected clones</t>
        </r>
      </text>
    </comment>
    <comment ref="O4" authorId="1">
      <text>
        <r>
          <rPr>
            <sz val="8"/>
            <rFont val="Tahoma"/>
            <family val="0"/>
          </rPr>
          <t>This is the marginal cost of one additional plant added to the trial. It is suggested that this cost is kept as a unit, thus 1.</t>
        </r>
      </text>
    </comment>
    <comment ref="O3" authorId="1">
      <text>
        <r>
          <rPr>
            <sz val="8"/>
            <rFont val="Tahoma"/>
            <family val="0"/>
          </rPr>
          <t xml:space="preserve">This is an initial cost for setting up the experiment/test, thus a fixed cost. If you do not want to do a very advanced analysis, you may just put this to 0. </t>
        </r>
      </text>
    </comment>
    <comment ref="O5" authorId="1">
      <text>
        <r>
          <rPr>
            <sz val="8"/>
            <rFont val="Tahoma"/>
            <family val="0"/>
          </rPr>
          <t>This is the cost per additional parent</t>
        </r>
      </text>
    </comment>
    <comment ref="D3" authorId="1">
      <text>
        <r>
          <rPr>
            <sz val="8"/>
            <rFont val="Tahoma"/>
            <family val="0"/>
          </rPr>
          <t xml:space="preserve">The </t>
        </r>
        <r>
          <rPr>
            <b/>
            <sz val="8"/>
            <color indexed="10"/>
            <rFont val="Tahoma"/>
            <family val="2"/>
          </rPr>
          <t>red figures with yellow backgound</t>
        </r>
        <r>
          <rPr>
            <sz val="8"/>
            <color indexed="10"/>
            <rFont val="Tahoma"/>
            <family val="2"/>
          </rPr>
          <t xml:space="preserve"> </t>
        </r>
        <r>
          <rPr>
            <sz val="8"/>
            <rFont val="Tahoma"/>
            <family val="0"/>
          </rPr>
          <t>are meant to be changed by the user.</t>
        </r>
      </text>
    </comment>
    <comment ref="L12" authorId="1">
      <text>
        <r>
          <rPr>
            <sz val="8"/>
            <rFont val="Tahoma"/>
            <family val="0"/>
          </rPr>
          <t xml:space="preserve">This gain is adjusted for an assumed negative breeding value influence of the pollen. </t>
        </r>
      </text>
    </comment>
    <comment ref="O19" authorId="1">
      <text>
        <r>
          <rPr>
            <sz val="8"/>
            <rFont val="Tahoma"/>
            <family val="0"/>
          </rPr>
          <t>This value is used for alternatives, when the effect of wind-pollen enter into the gain (Alt 3). This is the gain by the assumed plus tree selection. First cycle plus trees are assumed to have BV=0. For OP families, the fathers can be unimproved and have lower BV. Therefore a reduction of gain will be made based on half  the plus tree gain you insert here.</t>
        </r>
        <r>
          <rPr>
            <sz val="8"/>
            <rFont val="Tahoma"/>
            <family val="2"/>
          </rPr>
          <t xml:space="preserve"> Cells concerned with this reduction have grey background</t>
        </r>
        <r>
          <rPr>
            <sz val="8"/>
            <rFont val="Tahoma"/>
            <family val="0"/>
          </rPr>
          <t>.</t>
        </r>
      </text>
    </comment>
    <comment ref="F3" authorId="1">
      <text>
        <r>
          <rPr>
            <b/>
            <sz val="8"/>
            <color indexed="12"/>
            <rFont val="Tahoma"/>
            <family val="2"/>
          </rPr>
          <t>Bold values in blue with yellow background</t>
        </r>
        <r>
          <rPr>
            <sz val="8"/>
            <rFont val="Tahoma"/>
            <family val="0"/>
          </rPr>
          <t xml:space="preserve"> are considered main result. Do not change blue values, because when the workbook will not work!</t>
        </r>
      </text>
    </comment>
    <comment ref="G3" authorId="1">
      <text>
        <r>
          <rPr>
            <sz val="8"/>
            <color indexed="12"/>
            <rFont val="Tahoma"/>
            <family val="2"/>
          </rPr>
          <t>Unbolded values in blue</t>
        </r>
        <r>
          <rPr>
            <sz val="8"/>
            <rFont val="Tahoma"/>
            <family val="0"/>
          </rPr>
          <t xml:space="preserve"> are considered minor or intermediary results. Do not change blue values, because when the workbook will not work!</t>
        </r>
      </text>
    </comment>
    <comment ref="E3" authorId="1">
      <text>
        <r>
          <rPr>
            <sz val="8"/>
            <rFont val="Tahoma"/>
            <family val="0"/>
          </rPr>
          <t xml:space="preserve">The </t>
        </r>
        <r>
          <rPr>
            <b/>
            <i/>
            <sz val="8"/>
            <color indexed="10"/>
            <rFont val="Tahoma"/>
            <family val="2"/>
          </rPr>
          <t>red figures in italics</t>
        </r>
        <r>
          <rPr>
            <sz val="8"/>
            <rFont val="Tahoma"/>
            <family val="0"/>
          </rPr>
          <t xml:space="preserve"> are better not to be changed unless you are confident in what you are doing! But when you understand the more sophisticated details of the worksheet you may find them very useful</t>
        </r>
      </text>
    </comment>
    <comment ref="N15" authorId="1">
      <text>
        <r>
          <rPr>
            <sz val="8"/>
            <rFont val="Tahoma"/>
            <family val="0"/>
          </rPr>
          <t>Status number per halfsib-family</t>
        </r>
      </text>
    </comment>
    <comment ref="N30" authorId="1">
      <text>
        <r>
          <rPr>
            <sz val="8"/>
            <rFont val="Tahoma"/>
            <family val="0"/>
          </rPr>
          <t>Status number per full sib family</t>
        </r>
      </text>
    </comment>
    <comment ref="J11" authorId="1">
      <text>
        <r>
          <rPr>
            <sz val="8"/>
            <rFont val="Tahoma"/>
            <family val="0"/>
          </rPr>
          <t>Gain if the selected genotypes were used in an (ideal) seed orchard.</t>
        </r>
      </text>
    </comment>
    <comment ref="L10" authorId="1">
      <text>
        <r>
          <rPr>
            <sz val="8"/>
            <rFont val="Tahoma"/>
            <family val="0"/>
          </rPr>
          <t>The breeding values here should be the same as in the other work sheet if Q, rg, sam are kept at 1 and the other entries identical.</t>
        </r>
      </text>
    </comment>
    <comment ref="L26" authorId="1">
      <text>
        <r>
          <rPr>
            <sz val="8"/>
            <rFont val="Tahoma"/>
            <family val="0"/>
          </rPr>
          <t>The gain if a seed orchard is established</t>
        </r>
      </text>
    </comment>
    <comment ref="L37" authorId="1">
      <text>
        <r>
          <rPr>
            <sz val="8"/>
            <rFont val="Tahoma"/>
            <family val="0"/>
          </rPr>
          <t>The gain if a clonal mixture is used in forestry</t>
        </r>
      </text>
    </comment>
    <comment ref="H3" authorId="1">
      <text>
        <r>
          <rPr>
            <sz val="8"/>
            <rFont val="Tahoma"/>
            <family val="0"/>
          </rPr>
          <t>New features compared to main sheet for Clonal Mix in direct forestry</t>
        </r>
      </text>
    </comment>
    <comment ref="L22" authorId="1">
      <text>
        <r>
          <rPr>
            <sz val="8"/>
            <rFont val="Tahoma"/>
            <family val="0"/>
          </rPr>
          <t>The gain if a clonal mixture is used in forestry</t>
        </r>
      </text>
    </comment>
    <comment ref="K32" authorId="1">
      <text>
        <r>
          <rPr>
            <sz val="8"/>
            <rFont val="Tahoma"/>
            <family val="0"/>
          </rPr>
          <t>Note that rAI=a3/a2</t>
        </r>
      </text>
    </comment>
    <comment ref="K36" authorId="1">
      <text>
        <r>
          <rPr>
            <sz val="8"/>
            <rFont val="Tahoma"/>
            <family val="0"/>
          </rPr>
          <t>Note that rAI=a3/a2</t>
        </r>
      </text>
    </comment>
    <comment ref="K46" authorId="1">
      <text>
        <r>
          <rPr>
            <sz val="8"/>
            <rFont val="Tahoma"/>
            <family val="0"/>
          </rPr>
          <t>Note that rAI=a3/a2</t>
        </r>
      </text>
    </comment>
    <comment ref="K17" authorId="1">
      <text>
        <r>
          <rPr>
            <sz val="8"/>
            <rFont val="Tahoma"/>
            <family val="0"/>
          </rPr>
          <t>Note that rAI=a3/a2</t>
        </r>
      </text>
    </comment>
    <comment ref="J15" authorId="1">
      <text>
        <r>
          <rPr>
            <sz val="8"/>
            <rFont val="Tahoma"/>
            <family val="0"/>
          </rPr>
          <t>This is a selection intensity. How it is formed is seen in the row to the left and how it is used is seen in the column to the right</t>
        </r>
      </text>
    </comment>
    <comment ref="J19" authorId="1">
      <text>
        <r>
          <rPr>
            <sz val="8"/>
            <rFont val="Tahoma"/>
            <family val="0"/>
          </rPr>
          <t>This is a selection intensity. How it is formed is seen to the left and how it is used is seen to the right</t>
        </r>
      </text>
    </comment>
    <comment ref="J30" authorId="1">
      <text>
        <r>
          <rPr>
            <sz val="8"/>
            <rFont val="Tahoma"/>
            <family val="0"/>
          </rPr>
          <t>This is a selection intensity. How it is formed is seen to the left and how it is used is seen to the right</t>
        </r>
      </text>
    </comment>
    <comment ref="J34" authorId="1">
      <text>
        <r>
          <rPr>
            <sz val="8"/>
            <rFont val="Tahoma"/>
            <family val="0"/>
          </rPr>
          <t>This is a selection intensity. How it is formed is seen to the left and how it is used is seen to the right</t>
        </r>
      </text>
    </comment>
    <comment ref="J44" authorId="1">
      <text>
        <r>
          <rPr>
            <sz val="8"/>
            <rFont val="Tahoma"/>
            <family val="0"/>
          </rPr>
          <t>This is a selection intensity. How it is formed is seen to the left and how it is used is seen to the right</t>
        </r>
      </text>
    </comment>
    <comment ref="H2" authorId="1">
      <text>
        <r>
          <rPr>
            <sz val="8"/>
            <rFont val="Tahoma"/>
            <family val="0"/>
          </rPr>
          <t>The main aim of this worksheet is to compare seed orchard forestry with clonal mix forestry. It is a simplified version compared to the previos sheet</t>
        </r>
      </text>
    </comment>
    <comment ref="I2" authorId="1">
      <text>
        <r>
          <rPr>
            <sz val="8"/>
            <rFont val="Tahoma"/>
            <family val="0"/>
          </rPr>
          <t>Note that this worksheet has less functions and options than the main work sheet. Its main purpose is to make a comparison between clones used directly for forestry and clones selected in a similar way as parents for forestry in seed orchards. There may be difficulties in applying it if experience has not been accumulated from other worksheets or the explanations are neglected</t>
        </r>
      </text>
    </comment>
    <comment ref="J2" authorId="1">
      <text>
        <r>
          <rPr>
            <sz val="8"/>
            <rFont val="Tahoma"/>
            <family val="0"/>
          </rPr>
          <t xml:space="preserve">Some breeders find it easier to understand the formulas if they are expressed in terms of correlations between observed values and real values. rAI can be inserted in the formulae below instead of a1/a2 or a3/a2. See "explanations" for more detail. </t>
        </r>
      </text>
    </comment>
  </commentList>
</comments>
</file>

<file path=xl/sharedStrings.xml><?xml version="1.0" encoding="utf-8"?>
<sst xmlns="http://schemas.openxmlformats.org/spreadsheetml/2006/main" count="677" uniqueCount="264">
  <si>
    <t>Genetic predictions with cost, diversity and time estimates</t>
  </si>
  <si>
    <t>General settings</t>
  </si>
  <si>
    <t>Cost components for testing</t>
  </si>
  <si>
    <t>Color codes are</t>
  </si>
  <si>
    <t>Input</t>
  </si>
  <si>
    <t>Results</t>
  </si>
  <si>
    <t>Q'=</t>
  </si>
  <si>
    <r>
      <t>c</t>
    </r>
    <r>
      <rPr>
        <vertAlign val="subscript"/>
        <sz val="8"/>
        <rFont val="Arial"/>
        <family val="2"/>
      </rPr>
      <t>in</t>
    </r>
    <r>
      <rPr>
        <sz val="8"/>
        <rFont val="Arial"/>
        <family val="2"/>
      </rPr>
      <t>=Cost of initiation</t>
    </r>
  </si>
  <si>
    <r>
      <t xml:space="preserve">  The user should experiment with changing the </t>
    </r>
    <r>
      <rPr>
        <sz val="8"/>
        <color indexed="10"/>
        <rFont val="Arial"/>
        <family val="2"/>
      </rPr>
      <t>red</t>
    </r>
    <r>
      <rPr>
        <sz val="8"/>
        <rFont val="Arial"/>
        <family val="2"/>
      </rPr>
      <t xml:space="preserve"> values, but do not change the </t>
    </r>
    <r>
      <rPr>
        <sz val="8"/>
        <color indexed="12"/>
        <rFont val="Arial"/>
        <family val="2"/>
      </rPr>
      <t>blue</t>
    </r>
    <r>
      <rPr>
        <sz val="8"/>
        <rFont val="Arial"/>
        <family val="2"/>
      </rPr>
      <t>!</t>
    </r>
  </si>
  <si>
    <r>
      <t>c</t>
    </r>
    <r>
      <rPr>
        <vertAlign val="subscript"/>
        <sz val="8"/>
        <rFont val="Arial"/>
        <family val="2"/>
      </rPr>
      <t>ep</t>
    </r>
    <r>
      <rPr>
        <sz val="8"/>
        <rFont val="Arial"/>
        <family val="2"/>
      </rPr>
      <t>=Cost per exp plant</t>
    </r>
  </si>
  <si>
    <t>Variance components</t>
  </si>
  <si>
    <r>
      <t>s</t>
    </r>
    <r>
      <rPr>
        <vertAlign val="subscript"/>
        <sz val="8"/>
        <rFont val="Arial"/>
        <family val="2"/>
      </rPr>
      <t>A</t>
    </r>
    <r>
      <rPr>
        <vertAlign val="superscript"/>
        <sz val="8"/>
        <rFont val="Arial"/>
        <family val="2"/>
      </rPr>
      <t>2</t>
    </r>
    <r>
      <rPr>
        <sz val="8"/>
        <rFont val="Arial"/>
        <family val="2"/>
      </rPr>
      <t>=</t>
    </r>
  </si>
  <si>
    <r>
      <t>s</t>
    </r>
    <r>
      <rPr>
        <i/>
        <vertAlign val="subscript"/>
        <sz val="8"/>
        <rFont val="Arial"/>
        <family val="2"/>
      </rPr>
      <t>D</t>
    </r>
    <r>
      <rPr>
        <vertAlign val="superscript"/>
        <sz val="8"/>
        <rFont val="Arial"/>
        <family val="2"/>
      </rPr>
      <t>2</t>
    </r>
    <r>
      <rPr>
        <sz val="8"/>
        <rFont val="Arial"/>
        <family val="2"/>
      </rPr>
      <t>=</t>
    </r>
  </si>
  <si>
    <r>
      <t>s</t>
    </r>
    <r>
      <rPr>
        <i/>
        <vertAlign val="subscript"/>
        <sz val="8"/>
        <rFont val="Arial"/>
        <family val="2"/>
      </rPr>
      <t>E</t>
    </r>
    <r>
      <rPr>
        <vertAlign val="superscript"/>
        <sz val="8"/>
        <rFont val="Arial"/>
        <family val="2"/>
      </rPr>
      <t>2</t>
    </r>
    <r>
      <rPr>
        <sz val="8"/>
        <rFont val="Arial"/>
        <family val="2"/>
      </rPr>
      <t>=</t>
    </r>
  </si>
  <si>
    <r>
      <t>c</t>
    </r>
    <r>
      <rPr>
        <vertAlign val="subscript"/>
        <sz val="8"/>
        <rFont val="Arial"/>
        <family val="2"/>
      </rPr>
      <t>pp</t>
    </r>
    <r>
      <rPr>
        <sz val="8"/>
        <rFont val="Arial"/>
        <family val="2"/>
      </rPr>
      <t>=Cost per parent</t>
    </r>
  </si>
  <si>
    <t>Standard deviations</t>
  </si>
  <si>
    <r>
      <t>s</t>
    </r>
    <r>
      <rPr>
        <vertAlign val="subscript"/>
        <sz val="8"/>
        <rFont val="Arial"/>
        <family val="2"/>
      </rPr>
      <t>A</t>
    </r>
    <r>
      <rPr>
        <sz val="8"/>
        <rFont val="Arial"/>
        <family val="2"/>
      </rPr>
      <t>=</t>
    </r>
  </si>
  <si>
    <r>
      <t>s</t>
    </r>
    <r>
      <rPr>
        <i/>
        <vertAlign val="subscript"/>
        <sz val="8"/>
        <rFont val="Arial"/>
        <family val="2"/>
      </rPr>
      <t>D</t>
    </r>
    <r>
      <rPr>
        <sz val="8"/>
        <rFont val="Arial"/>
        <family val="2"/>
      </rPr>
      <t>=</t>
    </r>
  </si>
  <si>
    <r>
      <t>s</t>
    </r>
    <r>
      <rPr>
        <i/>
        <vertAlign val="subscript"/>
        <sz val="8"/>
        <rFont val="Arial"/>
        <family val="2"/>
      </rPr>
      <t>E</t>
    </r>
    <r>
      <rPr>
        <sz val="8"/>
        <rFont val="Arial"/>
        <family val="2"/>
      </rPr>
      <t>=</t>
    </r>
  </si>
  <si>
    <r>
      <t>h</t>
    </r>
    <r>
      <rPr>
        <vertAlign val="superscript"/>
        <sz val="8"/>
        <rFont val="Arial"/>
        <family val="2"/>
      </rPr>
      <t>2</t>
    </r>
    <r>
      <rPr>
        <sz val="8"/>
        <rFont val="Arial"/>
        <family val="2"/>
      </rPr>
      <t>=</t>
    </r>
  </si>
  <si>
    <r>
      <t>H</t>
    </r>
    <r>
      <rPr>
        <vertAlign val="superscript"/>
        <sz val="8"/>
        <rFont val="Arial"/>
        <family val="2"/>
      </rPr>
      <t>2</t>
    </r>
    <r>
      <rPr>
        <sz val="8"/>
        <rFont val="Arial"/>
        <family val="2"/>
      </rPr>
      <t>=</t>
    </r>
  </si>
  <si>
    <t>Gain at time when it is utilised</t>
  </si>
  <si>
    <t>Selection of parents to best half sib families (progeny test by OP or PC) (Alt 1)</t>
  </si>
  <si>
    <t>Cost</t>
  </si>
  <si>
    <t>Year</t>
  </si>
  <si>
    <t>Q=age of experiments in fraction of rotation time</t>
  </si>
  <si>
    <t>Gain with parent average as zero</t>
  </si>
  <si>
    <t>Gain with selected parents (plus trees) as zero, it becomes different from other gain if half sib families have non-improved fathers</t>
  </si>
  <si>
    <t>General data</t>
  </si>
  <si>
    <t>Predicted Breeding Value improvement:</t>
  </si>
  <si>
    <t>Experimental plants</t>
  </si>
  <si>
    <t>m (family size)=</t>
  </si>
  <si>
    <t>Selected genotypes=</t>
  </si>
  <si>
    <t>among</t>
  </si>
  <si>
    <t>candidates</t>
  </si>
  <si>
    <t>Cost for experiment (p=parent)</t>
  </si>
  <si>
    <t>Parent selection gain</t>
  </si>
  <si>
    <r>
      <t xml:space="preserve"> =c</t>
    </r>
    <r>
      <rPr>
        <vertAlign val="subscript"/>
        <sz val="8"/>
        <rFont val="Arial"/>
        <family val="2"/>
      </rPr>
      <t>in</t>
    </r>
    <r>
      <rPr>
        <sz val="8"/>
        <rFont val="Arial"/>
        <family val="2"/>
      </rPr>
      <t>+p*(c</t>
    </r>
    <r>
      <rPr>
        <vertAlign val="subscript"/>
        <sz val="8"/>
        <rFont val="Arial"/>
        <family val="2"/>
      </rPr>
      <t>pp</t>
    </r>
    <r>
      <rPr>
        <sz val="8"/>
        <rFont val="Arial"/>
        <family val="2"/>
      </rPr>
      <t>+c</t>
    </r>
    <r>
      <rPr>
        <vertAlign val="subscript"/>
        <sz val="8"/>
        <rFont val="Arial"/>
        <family val="2"/>
      </rPr>
      <t>ep</t>
    </r>
    <r>
      <rPr>
        <sz val="8"/>
        <rFont val="Arial"/>
        <family val="2"/>
      </rPr>
      <t>*m)</t>
    </r>
  </si>
  <si>
    <r>
      <t>i</t>
    </r>
    <r>
      <rPr>
        <vertAlign val="subscript"/>
        <sz val="8"/>
        <rFont val="Arial"/>
        <family val="2"/>
      </rPr>
      <t>f</t>
    </r>
    <r>
      <rPr>
        <sz val="8"/>
        <rFont val="Arial"/>
        <family val="2"/>
      </rPr>
      <t xml:space="preserve"> by selecting </t>
    </r>
  </si>
  <si>
    <t xml:space="preserve">best parents among </t>
  </si>
  <si>
    <t xml:space="preserve"> is</t>
  </si>
  <si>
    <t>Total status number (=selections)</t>
  </si>
  <si>
    <r>
      <t>a</t>
    </r>
    <r>
      <rPr>
        <vertAlign val="subscript"/>
        <sz val="8"/>
        <rFont val="Arial"/>
        <family val="2"/>
      </rPr>
      <t>1</t>
    </r>
    <r>
      <rPr>
        <sz val="8"/>
        <rFont val="Arial"/>
        <family val="2"/>
      </rPr>
      <t>=0.5</t>
    </r>
    <r>
      <rPr>
        <sz val="8"/>
        <rFont val="Symbol"/>
        <family val="1"/>
      </rPr>
      <t>s</t>
    </r>
    <r>
      <rPr>
        <vertAlign val="subscript"/>
        <sz val="8"/>
        <rFont val="Arial"/>
        <family val="2"/>
      </rPr>
      <t>A</t>
    </r>
    <r>
      <rPr>
        <sz val="8"/>
        <rFont val="Arial"/>
        <family val="2"/>
      </rPr>
      <t>=</t>
    </r>
  </si>
  <si>
    <r>
      <t>Average coancestry (=0.5/N</t>
    </r>
    <r>
      <rPr>
        <vertAlign val="subscript"/>
        <sz val="8"/>
        <rFont val="Arial"/>
        <family val="2"/>
      </rPr>
      <t>s</t>
    </r>
    <r>
      <rPr>
        <sz val="8"/>
        <rFont val="Arial"/>
        <family val="2"/>
      </rPr>
      <t>)</t>
    </r>
  </si>
  <si>
    <t xml:space="preserve"> =1</t>
  </si>
  <si>
    <t>Cost for experiment (p=parents)</t>
  </si>
  <si>
    <r>
      <t xml:space="preserve"> =c</t>
    </r>
    <r>
      <rPr>
        <vertAlign val="subscript"/>
        <sz val="8"/>
        <rFont val="Arial"/>
        <family val="2"/>
      </rPr>
      <t>in</t>
    </r>
    <r>
      <rPr>
        <sz val="8"/>
        <rFont val="Arial"/>
        <family val="2"/>
      </rPr>
      <t>+p*(c</t>
    </r>
    <r>
      <rPr>
        <vertAlign val="subscript"/>
        <sz val="8"/>
        <rFont val="Arial"/>
        <family val="2"/>
      </rPr>
      <t>pp</t>
    </r>
    <r>
      <rPr>
        <sz val="8"/>
        <rFont val="Arial"/>
        <family val="2"/>
      </rPr>
      <t>+c</t>
    </r>
    <r>
      <rPr>
        <vertAlign val="subscript"/>
        <sz val="8"/>
        <rFont val="Arial"/>
        <family val="2"/>
      </rPr>
      <t>ep</t>
    </r>
    <r>
      <rPr>
        <sz val="8"/>
        <rFont val="Arial"/>
        <family val="2"/>
      </rPr>
      <t>*m/2)</t>
    </r>
  </si>
  <si>
    <t>best parents among</t>
  </si>
  <si>
    <t>is</t>
  </si>
  <si>
    <r>
      <t>a</t>
    </r>
    <r>
      <rPr>
        <vertAlign val="subscript"/>
        <sz val="8"/>
        <rFont val="Arial"/>
        <family val="2"/>
      </rPr>
      <t>2</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+0.25</t>
    </r>
    <r>
      <rPr>
        <sz val="8"/>
        <rFont val="Symbol"/>
        <family val="1"/>
      </rPr>
      <t>s</t>
    </r>
    <r>
      <rPr>
        <vertAlign val="subscript"/>
        <sz val="8"/>
        <rFont val="Arial"/>
        <family val="2"/>
      </rPr>
      <t>D</t>
    </r>
    <r>
      <rPr>
        <vertAlign val="superscript"/>
        <sz val="8"/>
        <rFont val="Arial"/>
        <family val="2"/>
      </rPr>
      <t>2</t>
    </r>
    <r>
      <rPr>
        <sz val="8"/>
        <rFont val="Arial"/>
        <family val="2"/>
      </rPr>
      <t>+(0.5</t>
    </r>
    <r>
      <rPr>
        <sz val="8"/>
        <rFont val="Symbol"/>
        <family val="1"/>
      </rPr>
      <t>s</t>
    </r>
    <r>
      <rPr>
        <vertAlign val="subscript"/>
        <sz val="8"/>
        <rFont val="Symbol"/>
        <family val="1"/>
      </rPr>
      <t>A</t>
    </r>
    <r>
      <rPr>
        <vertAlign val="superscript"/>
        <sz val="8"/>
        <rFont val="Symbol"/>
        <family val="1"/>
      </rPr>
      <t>2</t>
    </r>
    <r>
      <rPr>
        <sz val="8"/>
        <rFont val="Symbol"/>
        <family val="1"/>
      </rPr>
      <t>+0.75s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 m)=</t>
    </r>
  </si>
  <si>
    <t>Selection of best genotypes from best half sib families (Alt 3)</t>
  </si>
  <si>
    <t>n (clone size)=</t>
  </si>
  <si>
    <t>(=1 if no vegetative propagation)</t>
  </si>
  <si>
    <t>Family number</t>
  </si>
  <si>
    <r>
      <t xml:space="preserve"> =c</t>
    </r>
    <r>
      <rPr>
        <vertAlign val="subscript"/>
        <sz val="8"/>
        <rFont val="Arial"/>
        <family val="2"/>
      </rPr>
      <t>in</t>
    </r>
    <r>
      <rPr>
        <sz val="8"/>
        <rFont val="Arial"/>
        <family val="2"/>
      </rPr>
      <t>+p*(c</t>
    </r>
    <r>
      <rPr>
        <vertAlign val="subscript"/>
        <sz val="8"/>
        <rFont val="Arial"/>
        <family val="2"/>
      </rPr>
      <t>pp</t>
    </r>
    <r>
      <rPr>
        <sz val="8"/>
        <rFont val="Arial"/>
        <family val="2"/>
      </rPr>
      <t>+m*</t>
    </r>
    <r>
      <rPr>
        <sz val="8"/>
        <rFont val="Arial"/>
        <family val="2"/>
      </rPr>
      <t>c</t>
    </r>
    <r>
      <rPr>
        <vertAlign val="subscript"/>
        <sz val="8"/>
        <rFont val="Arial"/>
        <family val="2"/>
      </rPr>
      <t>ep</t>
    </r>
    <r>
      <rPr>
        <sz val="8"/>
        <rFont val="Arial"/>
        <family val="2"/>
      </rPr>
      <t>*n)</t>
    </r>
  </si>
  <si>
    <t>Family selection gain</t>
  </si>
  <si>
    <r>
      <t>h</t>
    </r>
    <r>
      <rPr>
        <vertAlign val="subscript"/>
        <sz val="8"/>
        <rFont val="Arial"/>
        <family val="2"/>
      </rPr>
      <t>c</t>
    </r>
    <r>
      <rPr>
        <vertAlign val="superscript"/>
        <sz val="8"/>
        <rFont val="Arial"/>
        <family val="2"/>
      </rPr>
      <t>2</t>
    </r>
    <r>
      <rPr>
        <sz val="8"/>
        <rFont val="Arial"/>
        <family val="2"/>
      </rPr>
      <t>=</t>
    </r>
    <r>
      <rPr>
        <sz val="8"/>
        <rFont val="Symbol"/>
        <family val="1"/>
      </rPr>
      <t>s</t>
    </r>
    <r>
      <rPr>
        <vertAlign val="subscript"/>
        <sz val="8"/>
        <rFont val="Arial"/>
        <family val="2"/>
      </rPr>
      <t>A</t>
    </r>
    <r>
      <rPr>
        <vertAlign val="superscript"/>
        <sz val="8"/>
        <rFont val="Arial"/>
        <family val="2"/>
      </rPr>
      <t>2</t>
    </r>
    <r>
      <rPr>
        <sz val="8"/>
        <rFont val="Arial"/>
        <family val="2"/>
      </rPr>
      <t>/(</t>
    </r>
    <r>
      <rPr>
        <sz val="8"/>
        <rFont val="Symbol"/>
        <family val="1"/>
      </rPr>
      <t>s</t>
    </r>
    <r>
      <rPr>
        <vertAlign val="subscript"/>
        <sz val="8"/>
        <rFont val="Arial"/>
        <family val="2"/>
      </rPr>
      <t>A</t>
    </r>
    <r>
      <rPr>
        <vertAlign val="superscript"/>
        <sz val="8"/>
        <rFont val="Arial"/>
        <family val="2"/>
      </rPr>
      <t>2</t>
    </r>
    <r>
      <rPr>
        <sz val="8"/>
        <rFont val="Arial"/>
        <family val="2"/>
      </rPr>
      <t>+</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/n)=</t>
    </r>
  </si>
  <si>
    <r>
      <t>h</t>
    </r>
    <r>
      <rPr>
        <vertAlign val="subscript"/>
        <sz val="8"/>
        <rFont val="Arial"/>
        <family val="2"/>
      </rPr>
      <t>c</t>
    </r>
    <r>
      <rPr>
        <vertAlign val="superscript"/>
        <sz val="8"/>
        <rFont val="Arial"/>
        <family val="2"/>
      </rPr>
      <t xml:space="preserve">2 </t>
    </r>
    <r>
      <rPr>
        <sz val="8"/>
        <rFont val="Arial"/>
        <family val="2"/>
      </rPr>
      <t>is heritability of clonal values</t>
    </r>
  </si>
  <si>
    <t>Status number per half sib family; s=selections/family</t>
  </si>
  <si>
    <t>best families out of</t>
  </si>
  <si>
    <t xml:space="preserve"> = s/(.75+.25s)       (Lindgren et al 1996)</t>
  </si>
  <si>
    <r>
      <t>a</t>
    </r>
    <r>
      <rPr>
        <vertAlign val="subscript"/>
        <sz val="8"/>
        <rFont val="Arial"/>
        <family val="2"/>
      </rPr>
      <t>1</t>
    </r>
    <r>
      <rPr>
        <sz val="8"/>
        <rFont val="Arial"/>
        <family val="2"/>
      </rPr>
      <t>=(0.25+0.75/m)</t>
    </r>
    <r>
      <rPr>
        <sz val="8"/>
        <rFont val="Symbol"/>
        <family val="1"/>
      </rPr>
      <t>s</t>
    </r>
    <r>
      <rPr>
        <vertAlign val="subscript"/>
        <sz val="8"/>
        <rFont val="Arial"/>
        <family val="2"/>
      </rPr>
      <t>A</t>
    </r>
    <r>
      <rPr>
        <sz val="8"/>
        <rFont val="Arial"/>
        <family val="2"/>
      </rPr>
      <t>=</t>
    </r>
  </si>
  <si>
    <r>
      <t>a</t>
    </r>
    <r>
      <rPr>
        <vertAlign val="subscript"/>
        <sz val="8"/>
        <rFont val="Arial"/>
        <family val="2"/>
      </rPr>
      <t>2</t>
    </r>
    <r>
      <rPr>
        <sz val="8"/>
        <rFont val="Arial"/>
        <family val="2"/>
      </rPr>
      <t>=sqrt(0.25</t>
    </r>
    <r>
      <rPr>
        <sz val="8"/>
        <rFont val="Symbol"/>
        <family val="1"/>
      </rPr>
      <t>s</t>
    </r>
    <r>
      <rPr>
        <vertAlign val="subscript"/>
        <sz val="8"/>
        <rFont val="Symbol"/>
        <family val="1"/>
      </rPr>
      <t>A</t>
    </r>
    <r>
      <rPr>
        <vertAlign val="superscript"/>
        <sz val="8"/>
        <rFont val="Arial"/>
        <family val="2"/>
      </rPr>
      <t>2</t>
    </r>
    <r>
      <rPr>
        <sz val="8"/>
        <rFont val="Arial"/>
        <family val="2"/>
      </rPr>
      <t>+(0.75</t>
    </r>
    <r>
      <rPr>
        <sz val="8"/>
        <rFont val="Symbol"/>
        <family val="1"/>
      </rPr>
      <t>s</t>
    </r>
    <r>
      <rPr>
        <vertAlign val="subscript"/>
        <sz val="8"/>
        <rFont val="Symbol"/>
        <family val="1"/>
      </rPr>
      <t>A</t>
    </r>
    <r>
      <rPr>
        <vertAlign val="superscript"/>
        <sz val="8"/>
        <rFont val="Arial"/>
        <family val="2"/>
      </rPr>
      <t>2</t>
    </r>
    <r>
      <rPr>
        <sz val="8"/>
        <rFont val="Arial"/>
        <family val="2"/>
      </rPr>
      <t>+</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/n)/m)=</t>
    </r>
  </si>
  <si>
    <r>
      <t>Total status number (N</t>
    </r>
    <r>
      <rPr>
        <vertAlign val="subscript"/>
        <sz val="8"/>
        <rFont val="Arial"/>
        <family val="2"/>
      </rPr>
      <t>s</t>
    </r>
    <r>
      <rPr>
        <sz val="8"/>
        <rFont val="Arial"/>
        <family val="2"/>
      </rPr>
      <t>) (assuming OP)</t>
    </r>
  </si>
  <si>
    <t>Within family selection gain</t>
  </si>
  <si>
    <r>
      <t>i</t>
    </r>
    <r>
      <rPr>
        <vertAlign val="subscript"/>
        <sz val="8"/>
        <rFont val="Arial"/>
        <family val="2"/>
      </rPr>
      <t>w</t>
    </r>
    <r>
      <rPr>
        <sz val="8"/>
        <rFont val="Arial"/>
        <family val="2"/>
      </rPr>
      <t xml:space="preserve"> by selecting </t>
    </r>
  </si>
  <si>
    <t>best individuals out of</t>
  </si>
  <si>
    <r>
      <t>a</t>
    </r>
    <r>
      <rPr>
        <vertAlign val="subscript"/>
        <sz val="8"/>
        <rFont val="Arial"/>
        <family val="2"/>
      </rPr>
      <t>1</t>
    </r>
    <r>
      <rPr>
        <sz val="8"/>
        <rFont val="Arial"/>
        <family val="2"/>
      </rPr>
      <t>=0.75(1-1/m)</t>
    </r>
    <r>
      <rPr>
        <sz val="8"/>
        <rFont val="Symbol"/>
        <family val="1"/>
      </rPr>
      <t>s</t>
    </r>
    <r>
      <rPr>
        <vertAlign val="subscript"/>
        <sz val="8"/>
        <rFont val="Arial"/>
        <family val="2"/>
      </rPr>
      <t>A</t>
    </r>
    <r>
      <rPr>
        <sz val="8"/>
        <rFont val="Arial"/>
        <family val="2"/>
      </rPr>
      <t>=</t>
    </r>
  </si>
  <si>
    <r>
      <t>a</t>
    </r>
    <r>
      <rPr>
        <vertAlign val="subscript"/>
        <sz val="8"/>
        <rFont val="Arial"/>
        <family val="2"/>
      </rPr>
      <t>2</t>
    </r>
    <r>
      <rPr>
        <sz val="8"/>
        <rFont val="Arial"/>
        <family val="2"/>
      </rPr>
      <t>=sqrt(0.75</t>
    </r>
    <r>
      <rPr>
        <sz val="8"/>
        <rFont val="Symbol"/>
        <family val="1"/>
      </rPr>
      <t>s</t>
    </r>
    <r>
      <rPr>
        <vertAlign val="subscript"/>
        <sz val="8"/>
        <rFont val="Arial"/>
        <family val="2"/>
      </rPr>
      <t>A</t>
    </r>
    <r>
      <rPr>
        <vertAlign val="superscript"/>
        <sz val="8"/>
        <rFont val="Arial"/>
        <family val="2"/>
      </rPr>
      <t>2</t>
    </r>
    <r>
      <rPr>
        <sz val="8"/>
        <rFont val="Arial"/>
        <family val="2"/>
      </rPr>
      <t>(1-1/m)+</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/n)=</t>
    </r>
  </si>
  <si>
    <t>Selection of best genotypes from best full sib families (SPM) (Alt 4)</t>
  </si>
  <si>
    <r>
      <t xml:space="preserve"> =c</t>
    </r>
    <r>
      <rPr>
        <vertAlign val="subscript"/>
        <sz val="8"/>
        <rFont val="Arial"/>
        <family val="2"/>
      </rPr>
      <t>in</t>
    </r>
    <r>
      <rPr>
        <sz val="8"/>
        <rFont val="Arial"/>
        <family val="2"/>
      </rPr>
      <t>+p*(c</t>
    </r>
    <r>
      <rPr>
        <vertAlign val="subscript"/>
        <sz val="8"/>
        <rFont val="Arial"/>
        <family val="2"/>
      </rPr>
      <t>pp+</t>
    </r>
    <r>
      <rPr>
        <sz val="8"/>
        <rFont val="Arial"/>
        <family val="2"/>
      </rPr>
      <t>m*n*c</t>
    </r>
    <r>
      <rPr>
        <vertAlign val="subscript"/>
        <sz val="8"/>
        <rFont val="Arial"/>
        <family val="2"/>
      </rPr>
      <t>ep</t>
    </r>
    <r>
      <rPr>
        <sz val="8"/>
        <rFont val="Arial"/>
        <family val="2"/>
      </rPr>
      <t>/2)</t>
    </r>
  </si>
  <si>
    <t>Parents=</t>
  </si>
  <si>
    <t>(if SPM)</t>
  </si>
  <si>
    <t>Status number per full sib family; s=selections/family</t>
  </si>
  <si>
    <t>best families among</t>
  </si>
  <si>
    <t xml:space="preserve"> = 2*s/(1+s)   (Lindgren et al 1996)</t>
  </si>
  <si>
    <r>
      <t>a</t>
    </r>
    <r>
      <rPr>
        <vertAlign val="subscript"/>
        <sz val="8"/>
        <rFont val="Arial"/>
        <family val="2"/>
      </rPr>
      <t>1</t>
    </r>
    <r>
      <rPr>
        <sz val="8"/>
        <rFont val="Arial"/>
        <family val="2"/>
      </rPr>
      <t>=0.5(1+1/m)</t>
    </r>
    <r>
      <rPr>
        <sz val="8"/>
        <rFont val="Symbol"/>
        <family val="1"/>
      </rPr>
      <t>s</t>
    </r>
    <r>
      <rPr>
        <vertAlign val="subscript"/>
        <sz val="8"/>
        <rFont val="Arial"/>
        <family val="2"/>
      </rPr>
      <t>A</t>
    </r>
    <r>
      <rPr>
        <sz val="8"/>
        <rFont val="Arial"/>
        <family val="2"/>
      </rPr>
      <t>=</t>
    </r>
  </si>
  <si>
    <t>Total status number</t>
  </si>
  <si>
    <t xml:space="preserve">best clones within </t>
  </si>
  <si>
    <t>in a family is</t>
  </si>
  <si>
    <r>
      <t>a</t>
    </r>
    <r>
      <rPr>
        <vertAlign val="subscript"/>
        <sz val="8"/>
        <rFont val="Arial"/>
        <family val="2"/>
      </rPr>
      <t>1</t>
    </r>
    <r>
      <rPr>
        <sz val="8"/>
        <rFont val="Arial"/>
        <family val="2"/>
      </rPr>
      <t>=0.5(1-1/m)</t>
    </r>
    <r>
      <rPr>
        <sz val="8"/>
        <rFont val="Symbol"/>
        <family val="1"/>
      </rPr>
      <t>s</t>
    </r>
    <r>
      <rPr>
        <vertAlign val="subscript"/>
        <sz val="8"/>
        <rFont val="Arial"/>
        <family val="2"/>
      </rPr>
      <t>A</t>
    </r>
    <r>
      <rPr>
        <sz val="8"/>
        <rFont val="Arial"/>
        <family val="2"/>
      </rPr>
      <t>=</t>
    </r>
  </si>
  <si>
    <r>
      <t>a</t>
    </r>
    <r>
      <rPr>
        <vertAlign val="subscript"/>
        <sz val="8"/>
        <rFont val="Arial"/>
        <family val="2"/>
      </rPr>
      <t>2</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+0.75</t>
    </r>
    <r>
      <rPr>
        <sz val="8"/>
        <rFont val="Symbol"/>
        <family val="1"/>
      </rPr>
      <t>s</t>
    </r>
    <r>
      <rPr>
        <vertAlign val="subscript"/>
        <sz val="8"/>
        <rFont val="Arial"/>
        <family val="2"/>
      </rPr>
      <t>D</t>
    </r>
    <r>
      <rPr>
        <vertAlign val="superscript"/>
        <sz val="8"/>
        <rFont val="Arial"/>
        <family val="2"/>
      </rPr>
      <t>2</t>
    </r>
    <r>
      <rPr>
        <sz val="8"/>
        <rFont val="Arial"/>
        <family val="2"/>
      </rPr>
      <t>)(1-1/m)+</t>
    </r>
    <r>
      <rPr>
        <sz val="8"/>
        <rFont val="Symbol"/>
        <family val="1"/>
      </rPr>
      <t>s</t>
    </r>
    <r>
      <rPr>
        <vertAlign val="subscript"/>
        <sz val="8"/>
        <rFont val="Symbol"/>
        <family val="1"/>
      </rPr>
      <t>E</t>
    </r>
    <r>
      <rPr>
        <vertAlign val="superscript"/>
        <sz val="8"/>
        <rFont val="Arial"/>
        <family val="2"/>
      </rPr>
      <t>2</t>
    </r>
    <r>
      <rPr>
        <sz val="8"/>
        <rFont val="Arial"/>
        <family val="2"/>
      </rPr>
      <t>/n)=</t>
    </r>
  </si>
  <si>
    <t>Selection of best tested clones in an unstructured material (Alt 5)</t>
  </si>
  <si>
    <t>Cost for experiment</t>
  </si>
  <si>
    <t>Clone selection gain</t>
  </si>
  <si>
    <r>
      <t>i</t>
    </r>
    <r>
      <rPr>
        <vertAlign val="subscript"/>
        <sz val="8"/>
        <rFont val="Arial"/>
        <family val="2"/>
      </rPr>
      <t>c</t>
    </r>
    <r>
      <rPr>
        <sz val="8"/>
        <rFont val="Arial"/>
        <family val="2"/>
      </rPr>
      <t xml:space="preserve"> by selecting </t>
    </r>
  </si>
  <si>
    <t xml:space="preserve">best clones among </t>
  </si>
  <si>
    <r>
      <t>a</t>
    </r>
    <r>
      <rPr>
        <vertAlign val="subscript"/>
        <sz val="8"/>
        <rFont val="Arial"/>
        <family val="2"/>
      </rPr>
      <t>1</t>
    </r>
    <r>
      <rPr>
        <sz val="8"/>
        <rFont val="Arial"/>
        <family val="2"/>
      </rPr>
      <t>=</t>
    </r>
    <r>
      <rPr>
        <sz val="8"/>
        <rFont val="Symbol"/>
        <family val="1"/>
      </rPr>
      <t>s</t>
    </r>
    <r>
      <rPr>
        <vertAlign val="subscript"/>
        <sz val="8"/>
        <rFont val="Arial"/>
        <family val="2"/>
      </rPr>
      <t>A</t>
    </r>
    <r>
      <rPr>
        <sz val="8"/>
        <rFont val="Arial"/>
        <family val="2"/>
      </rPr>
      <t>=</t>
    </r>
  </si>
  <si>
    <t>Designations</t>
  </si>
  <si>
    <r>
      <t>s</t>
    </r>
    <r>
      <rPr>
        <vertAlign val="subscript"/>
        <sz val="8"/>
        <rFont val="Arial"/>
        <family val="2"/>
      </rPr>
      <t>A</t>
    </r>
    <r>
      <rPr>
        <vertAlign val="superscript"/>
        <sz val="8"/>
        <rFont val="Arial"/>
        <family val="2"/>
      </rPr>
      <t xml:space="preserve">2 </t>
    </r>
    <r>
      <rPr>
        <sz val="8"/>
        <rFont val="Arial"/>
        <family val="2"/>
      </rPr>
      <t>is additive variance</t>
    </r>
  </si>
  <si>
    <r>
      <t>s</t>
    </r>
    <r>
      <rPr>
        <vertAlign val="subscript"/>
        <sz val="8"/>
        <rFont val="Arial"/>
        <family val="2"/>
      </rPr>
      <t>D</t>
    </r>
    <r>
      <rPr>
        <vertAlign val="superscript"/>
        <sz val="8"/>
        <rFont val="Arial"/>
        <family val="2"/>
      </rPr>
      <t xml:space="preserve">2 </t>
    </r>
    <r>
      <rPr>
        <sz val="8"/>
        <rFont val="Arial"/>
        <family val="2"/>
      </rPr>
      <t>is dominance variance</t>
    </r>
  </si>
  <si>
    <r>
      <t>s</t>
    </r>
    <r>
      <rPr>
        <vertAlign val="subscript"/>
        <sz val="8"/>
        <rFont val="Arial"/>
        <family val="2"/>
      </rPr>
      <t>E</t>
    </r>
    <r>
      <rPr>
        <vertAlign val="superscript"/>
        <sz val="8"/>
        <rFont val="Arial"/>
        <family val="2"/>
      </rPr>
      <t xml:space="preserve">2 </t>
    </r>
    <r>
      <rPr>
        <sz val="8"/>
        <rFont val="Arial"/>
        <family val="2"/>
      </rPr>
      <t>is environmental variance</t>
    </r>
  </si>
  <si>
    <r>
      <t>s</t>
    </r>
    <r>
      <rPr>
        <vertAlign val="subscript"/>
        <sz val="8"/>
        <rFont val="Arial"/>
        <family val="2"/>
      </rPr>
      <t>P</t>
    </r>
    <r>
      <rPr>
        <vertAlign val="superscript"/>
        <sz val="8"/>
        <rFont val="Arial"/>
        <family val="2"/>
      </rPr>
      <t xml:space="preserve">2 </t>
    </r>
    <r>
      <rPr>
        <sz val="8"/>
        <rFont val="Arial"/>
        <family val="2"/>
      </rPr>
      <t>is phenotypic variance</t>
    </r>
  </si>
  <si>
    <r>
      <t>s</t>
    </r>
    <r>
      <rPr>
        <vertAlign val="subscript"/>
        <sz val="8"/>
        <rFont val="Arial"/>
        <family val="2"/>
      </rPr>
      <t xml:space="preserve">Am </t>
    </r>
    <r>
      <rPr>
        <sz val="8"/>
        <rFont val="Arial"/>
        <family val="0"/>
      </rPr>
      <t>is the "true" additive CV at mature age (in the character we want improved!)</t>
    </r>
  </si>
  <si>
    <t>Q is age of evaluation of trials compared to rotation time</t>
  </si>
  <si>
    <t>a1,a2,b1,b2 are intermediate values in the gain formulas given up to the right</t>
  </si>
  <si>
    <t>Numbers</t>
  </si>
  <si>
    <t>n is number of ramets per clone</t>
  </si>
  <si>
    <r>
      <t>i</t>
    </r>
    <r>
      <rPr>
        <sz val="10"/>
        <rFont val="Arial"/>
        <family val="0"/>
      </rPr>
      <t xml:space="preserve"> is selection intensity</t>
    </r>
  </si>
  <si>
    <r>
      <t>c</t>
    </r>
    <r>
      <rPr>
        <vertAlign val="subscript"/>
        <sz val="8"/>
        <rFont val="Arial"/>
        <family val="2"/>
      </rPr>
      <t>ep</t>
    </r>
    <r>
      <rPr>
        <sz val="8"/>
        <rFont val="Arial"/>
        <family val="2"/>
      </rPr>
      <t>=Cost per added exp plant</t>
    </r>
  </si>
  <si>
    <r>
      <t>c</t>
    </r>
    <r>
      <rPr>
        <vertAlign val="subscript"/>
        <sz val="8"/>
        <rFont val="Arial"/>
        <family val="2"/>
      </rPr>
      <t>pp</t>
    </r>
    <r>
      <rPr>
        <sz val="8"/>
        <rFont val="Arial"/>
        <family val="2"/>
      </rPr>
      <t>=Cost per added parent</t>
    </r>
  </si>
  <si>
    <r>
      <t>c</t>
    </r>
    <r>
      <rPr>
        <vertAlign val="subscript"/>
        <sz val="8"/>
        <rFont val="Arial"/>
        <family val="2"/>
      </rPr>
      <t>op</t>
    </r>
    <r>
      <rPr>
        <sz val="8"/>
        <rFont val="Arial"/>
        <family val="2"/>
      </rPr>
      <t>=Cost per OP or PC (alt 1 only)</t>
    </r>
  </si>
  <si>
    <r>
      <t>c</t>
    </r>
    <r>
      <rPr>
        <vertAlign val="subscript"/>
        <sz val="8"/>
        <rFont val="Arial"/>
        <family val="2"/>
      </rPr>
      <t>cc</t>
    </r>
    <r>
      <rPr>
        <sz val="8"/>
        <rFont val="Arial"/>
        <family val="2"/>
      </rPr>
      <t>=Cost per added controlled cross</t>
    </r>
  </si>
  <si>
    <r>
      <t>c</t>
    </r>
    <r>
      <rPr>
        <vertAlign val="subscript"/>
        <sz val="8"/>
        <rFont val="Arial"/>
        <family val="2"/>
      </rPr>
      <t>cl</t>
    </r>
    <r>
      <rPr>
        <sz val="8"/>
        <rFont val="Arial"/>
        <family val="2"/>
      </rPr>
      <t>=Cost per added clone</t>
    </r>
  </si>
  <si>
    <r>
      <t xml:space="preserve"> =c</t>
    </r>
    <r>
      <rPr>
        <vertAlign val="subscript"/>
        <sz val="8"/>
        <rFont val="Arial"/>
        <family val="2"/>
      </rPr>
      <t>in</t>
    </r>
    <r>
      <rPr>
        <sz val="8"/>
        <rFont val="Arial"/>
        <family val="2"/>
      </rPr>
      <t>+N*(cpp+c</t>
    </r>
    <r>
      <rPr>
        <vertAlign val="subscript"/>
        <sz val="8"/>
        <rFont val="Arial"/>
        <family val="2"/>
      </rPr>
      <t>ep</t>
    </r>
    <r>
      <rPr>
        <sz val="8"/>
        <rFont val="Arial"/>
        <family val="2"/>
      </rPr>
      <t>*n)</t>
    </r>
  </si>
  <si>
    <r>
      <t xml:space="preserve"> </t>
    </r>
    <r>
      <rPr>
        <sz val="8"/>
        <rFont val="Symbol"/>
        <family val="1"/>
      </rPr>
      <t>s</t>
    </r>
    <r>
      <rPr>
        <vertAlign val="subscript"/>
        <sz val="8"/>
        <rFont val="Arial"/>
        <family val="2"/>
      </rPr>
      <t>P</t>
    </r>
    <r>
      <rPr>
        <vertAlign val="superscript"/>
        <sz val="8"/>
        <rFont val="Arial"/>
        <family val="2"/>
      </rPr>
      <t>2</t>
    </r>
    <r>
      <rPr>
        <sz val="8"/>
        <rFont val="Arial"/>
        <family val="2"/>
      </rPr>
      <t>=</t>
    </r>
    <r>
      <rPr>
        <sz val="8"/>
        <rFont val="Symbol"/>
        <family val="1"/>
      </rPr>
      <t>s</t>
    </r>
    <r>
      <rPr>
        <vertAlign val="subscript"/>
        <sz val="8"/>
        <rFont val="Arial"/>
        <family val="2"/>
      </rPr>
      <t>A</t>
    </r>
    <r>
      <rPr>
        <vertAlign val="superscript"/>
        <sz val="8"/>
        <rFont val="Arial"/>
        <family val="2"/>
      </rPr>
      <t>2</t>
    </r>
    <r>
      <rPr>
        <sz val="8"/>
        <rFont val="Arial"/>
        <family val="2"/>
      </rPr>
      <t>+</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</si>
  <si>
    <r>
      <t>(=N) is</t>
    </r>
    <r>
      <rPr>
        <i/>
        <sz val="8"/>
        <rFont val="Arial"/>
        <family val="2"/>
      </rPr>
      <t xml:space="preserve"> i</t>
    </r>
    <r>
      <rPr>
        <sz val="8"/>
        <rFont val="Arial"/>
        <family val="2"/>
      </rPr>
      <t>c=</t>
    </r>
  </si>
  <si>
    <r>
      <t>h</t>
    </r>
    <r>
      <rPr>
        <vertAlign val="superscript"/>
        <sz val="8"/>
        <rFont val="Arial"/>
        <family val="2"/>
      </rPr>
      <t xml:space="preserve">2 </t>
    </r>
    <r>
      <rPr>
        <sz val="8"/>
        <rFont val="Arial"/>
        <family val="2"/>
      </rPr>
      <t>is individual heritability in narrow sense</t>
    </r>
  </si>
  <si>
    <r>
      <t>H</t>
    </r>
    <r>
      <rPr>
        <vertAlign val="superscript"/>
        <sz val="8"/>
        <rFont val="Arial"/>
        <family val="2"/>
      </rPr>
      <t>2</t>
    </r>
    <r>
      <rPr>
        <sz val="8"/>
        <rFont val="Arial"/>
        <family val="2"/>
      </rPr>
      <t xml:space="preserve"> is individual heritability in wide sense</t>
    </r>
  </si>
  <si>
    <t>a1 is the covariance between observed values (phenotypes) and true values</t>
  </si>
  <si>
    <r>
      <t>a</t>
    </r>
    <r>
      <rPr>
        <vertAlign val="subscript"/>
        <sz val="8"/>
        <rFont val="Arial"/>
        <family val="2"/>
      </rPr>
      <t>2</t>
    </r>
    <r>
      <rPr>
        <sz val="8"/>
        <rFont val="Arial"/>
        <family val="2"/>
      </rPr>
      <t>=sqrt(0.25</t>
    </r>
    <r>
      <rPr>
        <sz val="8"/>
        <rFont val="Symbol"/>
        <family val="1"/>
      </rPr>
      <t>s</t>
    </r>
    <r>
      <rPr>
        <vertAlign val="subscript"/>
        <sz val="8"/>
        <rFont val="Symbol"/>
        <family val="1"/>
      </rPr>
      <t>A</t>
    </r>
    <r>
      <rPr>
        <vertAlign val="superscript"/>
        <sz val="8"/>
        <rFont val="Arial"/>
        <family val="2"/>
      </rPr>
      <t>2</t>
    </r>
    <r>
      <rPr>
        <sz val="8"/>
        <rFont val="Arial"/>
        <family val="2"/>
      </rPr>
      <t>+(0.75</t>
    </r>
    <r>
      <rPr>
        <sz val="8"/>
        <rFont val="Symbol"/>
        <family val="1"/>
      </rPr>
      <t>s</t>
    </r>
    <r>
      <rPr>
        <vertAlign val="subscript"/>
        <sz val="8"/>
        <rFont val="Symbol"/>
        <family val="1"/>
      </rPr>
      <t>A</t>
    </r>
    <r>
      <rPr>
        <vertAlign val="superscript"/>
        <sz val="8"/>
        <rFont val="Symbol"/>
        <family val="1"/>
      </rPr>
      <t>2+</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 m)=</t>
    </r>
    <r>
      <rPr>
        <sz val="8"/>
        <rFont val="Symbol"/>
        <family val="1"/>
      </rPr>
      <t>s</t>
    </r>
    <r>
      <rPr>
        <vertAlign val="subscript"/>
        <sz val="8"/>
        <rFont val="Arial"/>
        <family val="2"/>
      </rPr>
      <t>X</t>
    </r>
    <r>
      <rPr>
        <sz val="8"/>
        <rFont val="Arial"/>
        <family val="2"/>
      </rPr>
      <t>=</t>
    </r>
  </si>
  <si>
    <t>a2 is sqrt of variance of measured values (phenotypes, index-values)</t>
  </si>
  <si>
    <r>
      <t>a</t>
    </r>
    <r>
      <rPr>
        <vertAlign val="subscript"/>
        <sz val="8"/>
        <rFont val="Arial"/>
        <family val="2"/>
      </rPr>
      <t>2</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(1+1/m)+0.25</t>
    </r>
    <r>
      <rPr>
        <sz val="8"/>
        <rFont val="Symbol"/>
        <family val="1"/>
      </rPr>
      <t>s</t>
    </r>
    <r>
      <rPr>
        <vertAlign val="subscript"/>
        <sz val="8"/>
        <rFont val="Arial"/>
        <family val="2"/>
      </rPr>
      <t>D</t>
    </r>
    <r>
      <rPr>
        <vertAlign val="superscript"/>
        <sz val="8"/>
        <rFont val="Symbol"/>
        <family val="1"/>
      </rPr>
      <t>2</t>
    </r>
    <r>
      <rPr>
        <sz val="8"/>
        <rFont val="Arial"/>
        <family val="2"/>
      </rPr>
      <t>+(</t>
    </r>
    <r>
      <rPr>
        <sz val="8"/>
        <rFont val="Arial"/>
        <family val="2"/>
      </rPr>
      <t>0.75</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/n)/m)=</t>
    </r>
  </si>
  <si>
    <r>
      <t>s</t>
    </r>
    <r>
      <rPr>
        <vertAlign val="subscript"/>
        <sz val="8"/>
        <rFont val="Arial"/>
        <family val="2"/>
      </rPr>
      <t xml:space="preserve">XA = </t>
    </r>
  </si>
  <si>
    <r>
      <t>s</t>
    </r>
    <r>
      <rPr>
        <vertAlign val="subscript"/>
        <sz val="8"/>
        <rFont val="Arial"/>
        <family val="2"/>
      </rPr>
      <t xml:space="preserve">X = </t>
    </r>
  </si>
  <si>
    <t>Number, status number and average coancestry</t>
  </si>
  <si>
    <t>Number of selections</t>
  </si>
  <si>
    <t xml:space="preserve"> =Tr=Rotation time</t>
  </si>
  <si>
    <t>Group merit advance per year</t>
  </si>
  <si>
    <t>Weighting factor for group coancestry (see explanations).</t>
  </si>
  <si>
    <r>
      <t xml:space="preserve"> G</t>
    </r>
    <r>
      <rPr>
        <vertAlign val="subscript"/>
        <sz val="8"/>
        <rFont val="Arial"/>
        <family val="2"/>
      </rPr>
      <t>3</t>
    </r>
    <r>
      <rPr>
        <sz val="8"/>
        <rFont val="Arial"/>
        <family val="2"/>
      </rPr>
      <t>-g</t>
    </r>
    <r>
      <rPr>
        <vertAlign val="subscript"/>
        <sz val="8"/>
        <rFont val="Arial"/>
        <family val="2"/>
      </rPr>
      <t>plustree</t>
    </r>
    <r>
      <rPr>
        <sz val="8"/>
        <rFont val="Arial"/>
        <family val="2"/>
      </rPr>
      <t>/2=</t>
    </r>
  </si>
  <si>
    <t>Selection of parents to best full sib families ("progeny test" by SPM) (Alt 2)</t>
  </si>
  <si>
    <t>Individual heritability</t>
  </si>
  <si>
    <r>
      <t>c</t>
    </r>
    <r>
      <rPr>
        <vertAlign val="subscript"/>
        <sz val="8"/>
        <rFont val="Arial"/>
        <family val="2"/>
      </rPr>
      <t>in</t>
    </r>
    <r>
      <rPr>
        <sz val="8"/>
        <rFont val="Arial"/>
        <family val="2"/>
      </rPr>
      <t>=Cost for initiating the experiment (this can alternatively be handled as an addition to the total cost)</t>
    </r>
  </si>
  <si>
    <r>
      <t>a</t>
    </r>
    <r>
      <rPr>
        <vertAlign val="subscript"/>
        <sz val="8"/>
        <rFont val="Arial"/>
        <family val="2"/>
      </rPr>
      <t>3</t>
    </r>
    <r>
      <rPr>
        <sz val="8"/>
        <rFont val="Arial"/>
        <family val="2"/>
      </rPr>
      <t>=sqrt(</t>
    </r>
    <r>
      <rPr>
        <sz val="8"/>
        <rFont val="Symbol"/>
        <family val="1"/>
      </rPr>
      <t>s</t>
    </r>
    <r>
      <rPr>
        <vertAlign val="subscript"/>
        <sz val="8"/>
        <rFont val="Symbol"/>
        <family val="1"/>
      </rPr>
      <t>A</t>
    </r>
    <r>
      <rPr>
        <vertAlign val="superscript"/>
        <sz val="8"/>
        <rFont val="Symbol"/>
        <family val="1"/>
      </rPr>
      <t>2</t>
    </r>
    <r>
      <rPr>
        <sz val="8"/>
        <rFont val="Symbol"/>
        <family val="1"/>
      </rPr>
      <t>+s</t>
    </r>
    <r>
      <rPr>
        <vertAlign val="subscript"/>
        <sz val="8"/>
        <rFont val="Arial"/>
        <family val="2"/>
      </rPr>
      <t>D</t>
    </r>
    <r>
      <rPr>
        <vertAlign val="superscript"/>
        <sz val="8"/>
        <rFont val="Arial"/>
        <family val="2"/>
      </rPr>
      <t>2</t>
    </r>
    <r>
      <rPr>
        <sz val="8"/>
        <rFont val="Arial"/>
        <family val="2"/>
      </rPr>
      <t>)=</t>
    </r>
  </si>
  <si>
    <r>
      <t>a</t>
    </r>
    <r>
      <rPr>
        <vertAlign val="subscript"/>
        <sz val="8"/>
        <rFont val="Arial"/>
        <family val="2"/>
      </rPr>
      <t>2</t>
    </r>
    <r>
      <rPr>
        <sz val="8"/>
        <rFont val="Arial"/>
        <family val="2"/>
      </rPr>
      <t>=sqrt(</t>
    </r>
    <r>
      <rPr>
        <sz val="8"/>
        <rFont val="Symbol"/>
        <family val="1"/>
      </rPr>
      <t>s</t>
    </r>
    <r>
      <rPr>
        <vertAlign val="subscript"/>
        <sz val="8"/>
        <rFont val="Symbol"/>
        <family val="1"/>
      </rPr>
      <t>A</t>
    </r>
    <r>
      <rPr>
        <vertAlign val="superscript"/>
        <sz val="8"/>
        <rFont val="Symbol"/>
        <family val="1"/>
      </rPr>
      <t>2</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 n)=</t>
    </r>
  </si>
  <si>
    <t>Predicted improvement of Clonal Mix:</t>
  </si>
  <si>
    <t>Predicted improvement of Breeding Value:</t>
  </si>
  <si>
    <r>
      <t>Gain</t>
    </r>
    <r>
      <rPr>
        <sz val="8"/>
        <rFont val="Arial"/>
        <family val="2"/>
      </rPr>
      <t xml:space="preserve"> (or gain component)</t>
    </r>
  </si>
  <si>
    <r>
      <t>a</t>
    </r>
    <r>
      <rPr>
        <vertAlign val="subscript"/>
        <sz val="8"/>
        <rFont val="Arial"/>
        <family val="2"/>
      </rPr>
      <t>3</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(1+1/m)+0.25</t>
    </r>
    <r>
      <rPr>
        <sz val="8"/>
        <rFont val="Symbol"/>
        <family val="1"/>
      </rPr>
      <t>s</t>
    </r>
    <r>
      <rPr>
        <vertAlign val="subscript"/>
        <sz val="8"/>
        <rFont val="Arial"/>
        <family val="2"/>
      </rPr>
      <t>D</t>
    </r>
    <r>
      <rPr>
        <vertAlign val="superscript"/>
        <sz val="8"/>
        <rFont val="Symbol"/>
        <family val="1"/>
      </rPr>
      <t>2</t>
    </r>
    <r>
      <rPr>
        <sz val="8"/>
        <rFont val="Arial"/>
        <family val="2"/>
      </rPr>
      <t>+0.75</t>
    </r>
    <r>
      <rPr>
        <sz val="8"/>
        <rFont val="Symbol"/>
        <family val="1"/>
      </rPr>
      <t>s</t>
    </r>
    <r>
      <rPr>
        <vertAlign val="subscript"/>
        <sz val="8"/>
        <rFont val="Arial"/>
        <family val="2"/>
      </rPr>
      <t>D</t>
    </r>
    <r>
      <rPr>
        <vertAlign val="superscript"/>
        <sz val="8"/>
        <rFont val="Arial"/>
        <family val="2"/>
      </rPr>
      <t>2</t>
    </r>
    <r>
      <rPr>
        <sz val="8"/>
        <rFont val="Arial"/>
        <family val="2"/>
      </rPr>
      <t>/m)=</t>
    </r>
  </si>
  <si>
    <t>First</t>
  </si>
  <si>
    <t>Second</t>
  </si>
  <si>
    <t>Selections</t>
  </si>
  <si>
    <t>Candidates</t>
  </si>
  <si>
    <t>selection intens;  i=</t>
  </si>
  <si>
    <t>t</t>
  </si>
  <si>
    <t>Accumulated gain</t>
  </si>
  <si>
    <r>
      <t>a</t>
    </r>
    <r>
      <rPr>
        <vertAlign val="subscript"/>
        <sz val="8"/>
        <rFont val="Arial"/>
        <family val="2"/>
      </rPr>
      <t>3</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+0.75</t>
    </r>
    <r>
      <rPr>
        <sz val="8"/>
        <rFont val="Symbol"/>
        <family val="1"/>
      </rPr>
      <t>s</t>
    </r>
    <r>
      <rPr>
        <vertAlign val="subscript"/>
        <sz val="8"/>
        <rFont val="Arial"/>
        <family val="2"/>
      </rPr>
      <t>D</t>
    </r>
    <r>
      <rPr>
        <vertAlign val="superscript"/>
        <sz val="8"/>
        <rFont val="Arial"/>
        <family val="2"/>
      </rPr>
      <t>2</t>
    </r>
    <r>
      <rPr>
        <sz val="8"/>
        <rFont val="Arial"/>
        <family val="2"/>
      </rPr>
      <t>)(1-1/m)]=</t>
    </r>
  </si>
  <si>
    <t>Predicted advantage of Clonal Mix over Seed Orchard</t>
  </si>
  <si>
    <t>Predicted improvement by Clonal Mix:</t>
  </si>
  <si>
    <r>
      <t>r</t>
    </r>
    <r>
      <rPr>
        <vertAlign val="subscript"/>
        <sz val="9"/>
        <rFont val="Arial"/>
        <family val="2"/>
      </rPr>
      <t>AI</t>
    </r>
    <r>
      <rPr>
        <sz val="9"/>
        <rFont val="Arial"/>
        <family val="2"/>
      </rPr>
      <t>=a</t>
    </r>
    <r>
      <rPr>
        <vertAlign val="subscript"/>
        <sz val="9"/>
        <rFont val="Arial"/>
        <family val="2"/>
      </rPr>
      <t>1</t>
    </r>
    <r>
      <rPr>
        <sz val="9"/>
        <rFont val="Arial"/>
        <family val="2"/>
      </rPr>
      <t>/a</t>
    </r>
    <r>
      <rPr>
        <vertAlign val="subscript"/>
        <sz val="9"/>
        <rFont val="Arial"/>
        <family val="2"/>
      </rPr>
      <t>2</t>
    </r>
    <r>
      <rPr>
        <sz val="9"/>
        <rFont val="Arial"/>
        <family val="2"/>
      </rPr>
      <t>=</t>
    </r>
  </si>
  <si>
    <r>
      <t>s</t>
    </r>
    <r>
      <rPr>
        <vertAlign val="subscript"/>
        <sz val="9"/>
        <rFont val="Arial"/>
        <family val="2"/>
      </rPr>
      <t>Am</t>
    </r>
    <r>
      <rPr>
        <sz val="9"/>
        <rFont val="Arial"/>
        <family val="0"/>
      </rPr>
      <t>=</t>
    </r>
  </si>
  <si>
    <r>
      <t>r</t>
    </r>
    <r>
      <rPr>
        <vertAlign val="subscript"/>
        <sz val="9"/>
        <rFont val="Arial"/>
        <family val="2"/>
      </rPr>
      <t>AI</t>
    </r>
    <r>
      <rPr>
        <sz val="9"/>
        <rFont val="Arial"/>
        <family val="2"/>
      </rPr>
      <t>=a</t>
    </r>
    <r>
      <rPr>
        <vertAlign val="subscript"/>
        <sz val="9"/>
        <rFont val="Arial"/>
        <family val="2"/>
      </rPr>
      <t>1</t>
    </r>
    <r>
      <rPr>
        <sz val="9"/>
        <rFont val="Arial"/>
        <family val="2"/>
      </rPr>
      <t>/a</t>
    </r>
    <r>
      <rPr>
        <vertAlign val="subscript"/>
        <sz val="9"/>
        <rFont val="Arial"/>
        <family val="2"/>
      </rPr>
      <t>2</t>
    </r>
    <r>
      <rPr>
        <sz val="9"/>
        <rFont val="Arial"/>
        <family val="2"/>
      </rPr>
      <t>=</t>
    </r>
  </si>
  <si>
    <r>
      <t>b</t>
    </r>
    <r>
      <rPr>
        <vertAlign val="subscript"/>
        <sz val="9"/>
        <rFont val="Arial"/>
        <family val="2"/>
      </rPr>
      <t>f</t>
    </r>
    <r>
      <rPr>
        <sz val="9"/>
        <rFont val="Arial"/>
        <family val="2"/>
      </rPr>
      <t>=</t>
    </r>
    <r>
      <rPr>
        <i/>
        <sz val="9"/>
        <rFont val="Arial"/>
        <family val="2"/>
      </rPr>
      <t>i</t>
    </r>
    <r>
      <rPr>
        <vertAlign val="subscript"/>
        <sz val="9"/>
        <rFont val="Arial"/>
        <family val="2"/>
      </rPr>
      <t>f</t>
    </r>
    <r>
      <rPr>
        <sz val="9"/>
        <rFont val="Arial"/>
        <family val="2"/>
      </rPr>
      <t>*r</t>
    </r>
    <r>
      <rPr>
        <vertAlign val="subscript"/>
        <sz val="9"/>
        <rFont val="Arial"/>
        <family val="2"/>
      </rPr>
      <t>AI</t>
    </r>
    <r>
      <rPr>
        <sz val="9"/>
        <rFont val="Arial"/>
        <family val="2"/>
      </rPr>
      <t>=</t>
    </r>
  </si>
  <si>
    <r>
      <t>b</t>
    </r>
    <r>
      <rPr>
        <vertAlign val="subscript"/>
        <sz val="9"/>
        <rFont val="Arial"/>
        <family val="2"/>
      </rPr>
      <t>w</t>
    </r>
    <r>
      <rPr>
        <sz val="9"/>
        <rFont val="Arial"/>
        <family val="2"/>
      </rPr>
      <t>=</t>
    </r>
    <r>
      <rPr>
        <i/>
        <sz val="9"/>
        <rFont val="Arial"/>
        <family val="2"/>
      </rPr>
      <t>i</t>
    </r>
    <r>
      <rPr>
        <vertAlign val="subscript"/>
        <sz val="9"/>
        <rFont val="Arial"/>
        <family val="2"/>
      </rPr>
      <t>f</t>
    </r>
    <r>
      <rPr>
        <sz val="9"/>
        <rFont val="Arial"/>
        <family val="2"/>
      </rPr>
      <t>*r</t>
    </r>
    <r>
      <rPr>
        <vertAlign val="subscript"/>
        <sz val="9"/>
        <rFont val="Arial"/>
        <family val="2"/>
      </rPr>
      <t>AI</t>
    </r>
    <r>
      <rPr>
        <sz val="9"/>
        <rFont val="Arial"/>
        <family val="2"/>
      </rPr>
      <t>=</t>
    </r>
  </si>
  <si>
    <r>
      <t>i</t>
    </r>
    <r>
      <rPr>
        <sz val="8"/>
        <rFont val="Arial"/>
        <family val="2"/>
      </rPr>
      <t xml:space="preserve"> by selecting </t>
    </r>
  </si>
  <si>
    <r>
      <t>s</t>
    </r>
    <r>
      <rPr>
        <vertAlign val="subscript"/>
        <sz val="9"/>
        <rFont val="Arial"/>
        <family val="2"/>
      </rPr>
      <t>A</t>
    </r>
    <r>
      <rPr>
        <vertAlign val="superscript"/>
        <sz val="9"/>
        <rFont val="Arial"/>
        <family val="2"/>
      </rPr>
      <t>2</t>
    </r>
    <r>
      <rPr>
        <sz val="9"/>
        <rFont val="Arial"/>
        <family val="2"/>
      </rPr>
      <t>=</t>
    </r>
  </si>
  <si>
    <r>
      <t>s</t>
    </r>
    <r>
      <rPr>
        <vertAlign val="subscript"/>
        <sz val="9"/>
        <rFont val="Arial"/>
        <family val="2"/>
      </rPr>
      <t>A</t>
    </r>
    <r>
      <rPr>
        <sz val="9"/>
        <rFont val="Arial"/>
        <family val="2"/>
      </rPr>
      <t>=</t>
    </r>
  </si>
  <si>
    <r>
      <t>h</t>
    </r>
    <r>
      <rPr>
        <vertAlign val="superscript"/>
        <sz val="9"/>
        <rFont val="Arial"/>
        <family val="2"/>
      </rPr>
      <t>2</t>
    </r>
    <r>
      <rPr>
        <sz val="9"/>
        <rFont val="Arial"/>
        <family val="2"/>
      </rPr>
      <t>=</t>
    </r>
  </si>
  <si>
    <r>
      <t>s</t>
    </r>
    <r>
      <rPr>
        <i/>
        <vertAlign val="subscript"/>
        <sz val="9"/>
        <rFont val="Arial"/>
        <family val="2"/>
      </rPr>
      <t>D</t>
    </r>
    <r>
      <rPr>
        <vertAlign val="superscript"/>
        <sz val="9"/>
        <rFont val="Arial"/>
        <family val="2"/>
      </rPr>
      <t>2</t>
    </r>
    <r>
      <rPr>
        <sz val="9"/>
        <rFont val="Arial"/>
        <family val="2"/>
      </rPr>
      <t>=</t>
    </r>
  </si>
  <si>
    <r>
      <t>s</t>
    </r>
    <r>
      <rPr>
        <i/>
        <vertAlign val="subscript"/>
        <sz val="9"/>
        <rFont val="Arial"/>
        <family val="2"/>
      </rPr>
      <t>D</t>
    </r>
    <r>
      <rPr>
        <sz val="9"/>
        <rFont val="Arial"/>
        <family val="2"/>
      </rPr>
      <t>=</t>
    </r>
  </si>
  <si>
    <r>
      <t>H</t>
    </r>
    <r>
      <rPr>
        <vertAlign val="superscript"/>
        <sz val="9"/>
        <rFont val="Arial"/>
        <family val="2"/>
      </rPr>
      <t>2</t>
    </r>
    <r>
      <rPr>
        <sz val="9"/>
        <rFont val="Arial"/>
        <family val="2"/>
      </rPr>
      <t>=</t>
    </r>
  </si>
  <si>
    <r>
      <t>s</t>
    </r>
    <r>
      <rPr>
        <i/>
        <vertAlign val="subscript"/>
        <sz val="9"/>
        <rFont val="Arial"/>
        <family val="2"/>
      </rPr>
      <t>E</t>
    </r>
    <r>
      <rPr>
        <vertAlign val="superscript"/>
        <sz val="9"/>
        <rFont val="Arial"/>
        <family val="2"/>
      </rPr>
      <t>2</t>
    </r>
    <r>
      <rPr>
        <sz val="9"/>
        <rFont val="Arial"/>
        <family val="2"/>
      </rPr>
      <t>=</t>
    </r>
  </si>
  <si>
    <r>
      <t>s</t>
    </r>
    <r>
      <rPr>
        <i/>
        <vertAlign val="subscript"/>
        <sz val="9"/>
        <rFont val="Arial"/>
        <family val="2"/>
      </rPr>
      <t>E</t>
    </r>
    <r>
      <rPr>
        <sz val="9"/>
        <rFont val="Arial"/>
        <family val="2"/>
      </rPr>
      <t>=</t>
    </r>
  </si>
  <si>
    <r>
      <t>r</t>
    </r>
    <r>
      <rPr>
        <vertAlign val="subscript"/>
        <sz val="8"/>
        <rFont val="Arial"/>
        <family val="2"/>
      </rPr>
      <t>TI</t>
    </r>
    <r>
      <rPr>
        <sz val="8"/>
        <rFont val="Arial"/>
        <family val="2"/>
      </rPr>
      <t xml:space="preserve"> is the correlation between the selection index and the target (mature) character</t>
    </r>
  </si>
  <si>
    <r>
      <t>r</t>
    </r>
    <r>
      <rPr>
        <vertAlign val="subscript"/>
        <sz val="8"/>
        <rFont val="Arial"/>
        <family val="2"/>
      </rPr>
      <t>AI</t>
    </r>
    <r>
      <rPr>
        <sz val="8"/>
        <rFont val="Arial"/>
        <family val="2"/>
      </rPr>
      <t xml:space="preserve"> is the correlation between selection index and breeding value at the current age</t>
    </r>
  </si>
  <si>
    <r>
      <t xml:space="preserve"> G-g</t>
    </r>
    <r>
      <rPr>
        <vertAlign val="subscript"/>
        <sz val="9"/>
        <rFont val="Arial"/>
        <family val="2"/>
      </rPr>
      <t>plustree</t>
    </r>
    <r>
      <rPr>
        <sz val="9"/>
        <rFont val="Arial"/>
        <family val="2"/>
      </rPr>
      <t>/2=</t>
    </r>
  </si>
  <si>
    <r>
      <t>b</t>
    </r>
    <r>
      <rPr>
        <vertAlign val="subscript"/>
        <sz val="9"/>
        <rFont val="Arial"/>
        <family val="2"/>
      </rPr>
      <t>1</t>
    </r>
    <r>
      <rPr>
        <sz val="9"/>
        <rFont val="Arial"/>
        <family val="2"/>
      </rPr>
      <t>=</t>
    </r>
    <r>
      <rPr>
        <i/>
        <sz val="9"/>
        <rFont val="Arial"/>
        <family val="2"/>
      </rPr>
      <t>i</t>
    </r>
    <r>
      <rPr>
        <vertAlign val="subscript"/>
        <sz val="9"/>
        <rFont val="Arial"/>
        <family val="2"/>
      </rPr>
      <t>f</t>
    </r>
    <r>
      <rPr>
        <sz val="9"/>
        <rFont val="Arial"/>
        <family val="2"/>
      </rPr>
      <t>*a</t>
    </r>
    <r>
      <rPr>
        <vertAlign val="subscript"/>
        <sz val="9"/>
        <rFont val="Arial"/>
        <family val="2"/>
      </rPr>
      <t>1</t>
    </r>
    <r>
      <rPr>
        <sz val="9"/>
        <rFont val="Arial"/>
        <family val="2"/>
      </rPr>
      <t>/a</t>
    </r>
    <r>
      <rPr>
        <vertAlign val="subscript"/>
        <sz val="9"/>
        <rFont val="Arial"/>
        <family val="2"/>
      </rPr>
      <t>2</t>
    </r>
    <r>
      <rPr>
        <sz val="9"/>
        <rFont val="Arial"/>
        <family val="2"/>
      </rPr>
      <t>=</t>
    </r>
  </si>
  <si>
    <r>
      <t>b</t>
    </r>
    <r>
      <rPr>
        <vertAlign val="subscript"/>
        <sz val="9"/>
        <rFont val="Arial"/>
        <family val="2"/>
      </rPr>
      <t>2</t>
    </r>
    <r>
      <rPr>
        <sz val="9"/>
        <rFont val="Arial"/>
        <family val="2"/>
      </rPr>
      <t>=</t>
    </r>
    <r>
      <rPr>
        <i/>
        <sz val="9"/>
        <rFont val="Arial"/>
        <family val="2"/>
      </rPr>
      <t>i</t>
    </r>
    <r>
      <rPr>
        <vertAlign val="subscript"/>
        <sz val="9"/>
        <rFont val="Arial"/>
        <family val="2"/>
      </rPr>
      <t>w</t>
    </r>
    <r>
      <rPr>
        <sz val="9"/>
        <rFont val="Arial"/>
        <family val="2"/>
      </rPr>
      <t>*a</t>
    </r>
    <r>
      <rPr>
        <vertAlign val="subscript"/>
        <sz val="9"/>
        <rFont val="Arial"/>
        <family val="2"/>
      </rPr>
      <t>1</t>
    </r>
    <r>
      <rPr>
        <sz val="9"/>
        <rFont val="Arial"/>
        <family val="2"/>
      </rPr>
      <t>/a</t>
    </r>
    <r>
      <rPr>
        <vertAlign val="subscript"/>
        <sz val="9"/>
        <rFont val="Arial"/>
        <family val="2"/>
      </rPr>
      <t>2</t>
    </r>
    <r>
      <rPr>
        <sz val="9"/>
        <rFont val="Arial"/>
        <family val="2"/>
      </rPr>
      <t>=</t>
    </r>
  </si>
  <si>
    <r>
      <t>G</t>
    </r>
    <r>
      <rPr>
        <b/>
        <vertAlign val="subscript"/>
        <sz val="9"/>
        <rFont val="Arial"/>
        <family val="2"/>
      </rPr>
      <t>BV</t>
    </r>
    <r>
      <rPr>
        <b/>
        <sz val="9"/>
        <rFont val="Arial"/>
        <family val="2"/>
      </rPr>
      <t>=</t>
    </r>
    <r>
      <rPr>
        <sz val="9"/>
        <rFont val="Symbol"/>
        <family val="1"/>
      </rPr>
      <t>s</t>
    </r>
    <r>
      <rPr>
        <vertAlign val="subscript"/>
        <sz val="9"/>
        <rFont val="Arial"/>
        <family val="2"/>
      </rPr>
      <t>A</t>
    </r>
    <r>
      <rPr>
        <sz val="9"/>
        <rFont val="Arial"/>
        <family val="2"/>
      </rPr>
      <t>(b</t>
    </r>
    <r>
      <rPr>
        <vertAlign val="subscript"/>
        <sz val="9"/>
        <rFont val="Arial"/>
        <family val="2"/>
      </rPr>
      <t>1</t>
    </r>
    <r>
      <rPr>
        <sz val="9"/>
        <rFont val="Arial"/>
        <family val="2"/>
      </rPr>
      <t>+b</t>
    </r>
    <r>
      <rPr>
        <vertAlign val="subscript"/>
        <sz val="9"/>
        <rFont val="Arial"/>
        <family val="2"/>
      </rPr>
      <t>2</t>
    </r>
    <r>
      <rPr>
        <sz val="9"/>
        <rFont val="Arial"/>
        <family val="2"/>
      </rPr>
      <t>)=</t>
    </r>
  </si>
  <si>
    <r>
      <t>G</t>
    </r>
    <r>
      <rPr>
        <vertAlign val="subscript"/>
        <sz val="9"/>
        <rFont val="Arial"/>
        <family val="2"/>
      </rPr>
      <t>CM</t>
    </r>
    <r>
      <rPr>
        <sz val="9"/>
        <rFont val="Arial"/>
        <family val="2"/>
      </rPr>
      <t>=G</t>
    </r>
    <r>
      <rPr>
        <vertAlign val="subscript"/>
        <sz val="9"/>
        <rFont val="Arial"/>
        <family val="2"/>
      </rPr>
      <t>f</t>
    </r>
    <r>
      <rPr>
        <sz val="9"/>
        <rFont val="Arial"/>
        <family val="2"/>
      </rPr>
      <t>+G</t>
    </r>
    <r>
      <rPr>
        <vertAlign val="subscript"/>
        <sz val="9"/>
        <rFont val="Arial"/>
        <family val="2"/>
      </rPr>
      <t>w</t>
    </r>
    <r>
      <rPr>
        <sz val="9"/>
        <rFont val="Arial"/>
        <family val="2"/>
      </rPr>
      <t>=</t>
    </r>
  </si>
  <si>
    <r>
      <t>G</t>
    </r>
    <r>
      <rPr>
        <vertAlign val="subscript"/>
        <sz val="9"/>
        <rFont val="Arial"/>
        <family val="2"/>
      </rPr>
      <t>CM</t>
    </r>
    <r>
      <rPr>
        <sz val="9"/>
        <rFont val="Arial"/>
        <family val="2"/>
      </rPr>
      <t>-G</t>
    </r>
    <r>
      <rPr>
        <vertAlign val="subscript"/>
        <sz val="9"/>
        <rFont val="Arial"/>
        <family val="2"/>
      </rPr>
      <t>BV</t>
    </r>
    <r>
      <rPr>
        <sz val="9"/>
        <rFont val="Arial"/>
        <family val="2"/>
      </rPr>
      <t>=</t>
    </r>
  </si>
  <si>
    <r>
      <t>G=</t>
    </r>
    <r>
      <rPr>
        <i/>
        <sz val="9"/>
        <rFont val="Arial"/>
        <family val="2"/>
      </rPr>
      <t>i</t>
    </r>
    <r>
      <rPr>
        <vertAlign val="subscript"/>
        <sz val="9"/>
        <rFont val="Arial"/>
        <family val="2"/>
      </rPr>
      <t>f</t>
    </r>
    <r>
      <rPr>
        <sz val="9"/>
        <rFont val="Arial"/>
        <family val="2"/>
      </rPr>
      <t>*a</t>
    </r>
    <r>
      <rPr>
        <vertAlign val="subscript"/>
        <sz val="9"/>
        <rFont val="Arial"/>
        <family val="2"/>
      </rPr>
      <t>3</t>
    </r>
    <r>
      <rPr>
        <vertAlign val="superscript"/>
        <sz val="9"/>
        <rFont val="Arial"/>
        <family val="2"/>
      </rPr>
      <t>2</t>
    </r>
    <r>
      <rPr>
        <sz val="9"/>
        <rFont val="Arial"/>
        <family val="2"/>
      </rPr>
      <t>/a</t>
    </r>
    <r>
      <rPr>
        <vertAlign val="subscript"/>
        <sz val="9"/>
        <rFont val="Arial"/>
        <family val="2"/>
      </rPr>
      <t>2</t>
    </r>
    <r>
      <rPr>
        <sz val="9"/>
        <rFont val="Arial"/>
        <family val="2"/>
      </rPr>
      <t>=</t>
    </r>
  </si>
  <si>
    <r>
      <t>G</t>
    </r>
    <r>
      <rPr>
        <b/>
        <vertAlign val="subscript"/>
        <sz val="9"/>
        <rFont val="Arial"/>
        <family val="2"/>
      </rPr>
      <t>BV</t>
    </r>
    <r>
      <rPr>
        <sz val="9"/>
        <rFont val="Arial"/>
        <family val="2"/>
      </rPr>
      <t>=</t>
    </r>
    <r>
      <rPr>
        <sz val="9"/>
        <rFont val="Symbol"/>
        <family val="1"/>
      </rPr>
      <t>s</t>
    </r>
    <r>
      <rPr>
        <vertAlign val="subscript"/>
        <sz val="9"/>
        <rFont val="Arial"/>
        <family val="2"/>
      </rPr>
      <t>A</t>
    </r>
    <r>
      <rPr>
        <sz val="9"/>
        <rFont val="Arial"/>
        <family val="2"/>
      </rPr>
      <t>*</t>
    </r>
    <r>
      <rPr>
        <i/>
        <sz val="9"/>
        <rFont val="Arial"/>
        <family val="2"/>
      </rPr>
      <t>i</t>
    </r>
    <r>
      <rPr>
        <vertAlign val="subscript"/>
        <sz val="9"/>
        <rFont val="Arial"/>
        <family val="2"/>
      </rPr>
      <t>f</t>
    </r>
    <r>
      <rPr>
        <sz val="9"/>
        <rFont val="Arial"/>
        <family val="2"/>
      </rPr>
      <t>*r</t>
    </r>
    <r>
      <rPr>
        <vertAlign val="subscript"/>
        <sz val="9"/>
        <rFont val="Arial"/>
        <family val="2"/>
      </rPr>
      <t>1AI</t>
    </r>
    <r>
      <rPr>
        <sz val="9"/>
        <rFont val="Arial"/>
        <family val="2"/>
      </rPr>
      <t>=</t>
    </r>
  </si>
  <si>
    <r>
      <t>G</t>
    </r>
    <r>
      <rPr>
        <vertAlign val="subscript"/>
        <sz val="9"/>
        <rFont val="Arial"/>
        <family val="2"/>
      </rPr>
      <t>f</t>
    </r>
    <r>
      <rPr>
        <sz val="9"/>
        <rFont val="Arial"/>
        <family val="2"/>
      </rPr>
      <t>=</t>
    </r>
    <r>
      <rPr>
        <i/>
        <sz val="9"/>
        <rFont val="Arial"/>
        <family val="2"/>
      </rPr>
      <t>i</t>
    </r>
    <r>
      <rPr>
        <vertAlign val="subscript"/>
        <sz val="9"/>
        <rFont val="Arial"/>
        <family val="2"/>
      </rPr>
      <t>f</t>
    </r>
    <r>
      <rPr>
        <sz val="9"/>
        <rFont val="Arial"/>
        <family val="2"/>
      </rPr>
      <t>*a</t>
    </r>
    <r>
      <rPr>
        <vertAlign val="subscript"/>
        <sz val="9"/>
        <rFont val="Arial"/>
        <family val="2"/>
      </rPr>
      <t>3</t>
    </r>
    <r>
      <rPr>
        <vertAlign val="superscript"/>
        <sz val="9"/>
        <rFont val="Arial"/>
        <family val="2"/>
      </rPr>
      <t>2</t>
    </r>
    <r>
      <rPr>
        <sz val="9"/>
        <rFont val="Arial"/>
        <family val="2"/>
      </rPr>
      <t>/a</t>
    </r>
    <r>
      <rPr>
        <vertAlign val="subscript"/>
        <sz val="9"/>
        <rFont val="Arial"/>
        <family val="2"/>
      </rPr>
      <t>2</t>
    </r>
    <r>
      <rPr>
        <sz val="9"/>
        <rFont val="Arial"/>
        <family val="2"/>
      </rPr>
      <t>=</t>
    </r>
  </si>
  <si>
    <t>within</t>
  </si>
  <si>
    <r>
      <t>Gw=</t>
    </r>
    <r>
      <rPr>
        <i/>
        <sz val="9"/>
        <rFont val="Arial"/>
        <family val="2"/>
      </rPr>
      <t>i</t>
    </r>
    <r>
      <rPr>
        <vertAlign val="subscript"/>
        <sz val="9"/>
        <rFont val="Arial"/>
        <family val="2"/>
      </rPr>
      <t>f</t>
    </r>
    <r>
      <rPr>
        <sz val="9"/>
        <rFont val="Arial"/>
        <family val="2"/>
      </rPr>
      <t>*a</t>
    </r>
    <r>
      <rPr>
        <vertAlign val="subscript"/>
        <sz val="9"/>
        <rFont val="Arial"/>
        <family val="2"/>
      </rPr>
      <t>3</t>
    </r>
    <r>
      <rPr>
        <vertAlign val="superscript"/>
        <sz val="9"/>
        <rFont val="Arial"/>
        <family val="2"/>
      </rPr>
      <t>2</t>
    </r>
    <r>
      <rPr>
        <sz val="9"/>
        <rFont val="Arial"/>
        <family val="2"/>
      </rPr>
      <t>/a</t>
    </r>
    <r>
      <rPr>
        <vertAlign val="subscript"/>
        <sz val="9"/>
        <rFont val="Arial"/>
        <family val="2"/>
      </rPr>
      <t>2</t>
    </r>
    <r>
      <rPr>
        <sz val="9"/>
        <rFont val="Arial"/>
        <family val="2"/>
      </rPr>
      <t>=</t>
    </r>
  </si>
  <si>
    <r>
      <t>a</t>
    </r>
    <r>
      <rPr>
        <vertAlign val="subscript"/>
        <sz val="8"/>
        <rFont val="Arial"/>
        <family val="2"/>
      </rPr>
      <t>3</t>
    </r>
    <r>
      <rPr>
        <sz val="8"/>
        <rFont val="Arial"/>
        <family val="2"/>
      </rPr>
      <t>=sqrt(0.75(1-1/m)</t>
    </r>
    <r>
      <rPr>
        <sz val="8"/>
        <rFont val="Symbol"/>
        <family val="1"/>
      </rPr>
      <t>s</t>
    </r>
    <r>
      <rPr>
        <vertAlign val="subscript"/>
        <sz val="8"/>
        <rFont val="Symbol"/>
        <family val="1"/>
      </rPr>
      <t>A</t>
    </r>
    <r>
      <rPr>
        <vertAlign val="superscript"/>
        <sz val="8"/>
        <rFont val="Symbol"/>
        <family val="1"/>
      </rPr>
      <t>2</t>
    </r>
    <r>
      <rPr>
        <sz val="8"/>
        <rFont val="Symbol"/>
        <family val="1"/>
      </rPr>
      <t>+s</t>
    </r>
    <r>
      <rPr>
        <vertAlign val="subscript"/>
        <sz val="8"/>
        <rFont val="Arial"/>
        <family val="2"/>
      </rPr>
      <t>D</t>
    </r>
    <r>
      <rPr>
        <vertAlign val="superscript"/>
        <sz val="8"/>
        <rFont val="Arial"/>
        <family val="2"/>
      </rPr>
      <t>2</t>
    </r>
    <r>
      <rPr>
        <sz val="8"/>
        <rFont val="Arial"/>
        <family val="2"/>
      </rPr>
      <t>)=</t>
    </r>
  </si>
  <si>
    <r>
      <t>a</t>
    </r>
    <r>
      <rPr>
        <vertAlign val="subscript"/>
        <sz val="8"/>
        <rFont val="Arial"/>
        <family val="2"/>
      </rPr>
      <t>3</t>
    </r>
    <r>
      <rPr>
        <sz val="8"/>
        <rFont val="Arial"/>
        <family val="2"/>
      </rPr>
      <t>=sqrt((0.25+0.75/m)</t>
    </r>
    <r>
      <rPr>
        <sz val="8"/>
        <rFont val="Symbol"/>
        <family val="1"/>
      </rPr>
      <t>s</t>
    </r>
    <r>
      <rPr>
        <vertAlign val="subscript"/>
        <sz val="8"/>
        <rFont val="Symbol"/>
        <family val="1"/>
      </rPr>
      <t>A</t>
    </r>
    <r>
      <rPr>
        <vertAlign val="superscript"/>
        <sz val="8"/>
        <rFont val="Arial"/>
        <family val="2"/>
      </rPr>
      <t>2</t>
    </r>
    <r>
      <rPr>
        <sz val="8"/>
        <rFont val="Arial"/>
        <family val="2"/>
      </rPr>
      <t>+</t>
    </r>
    <r>
      <rPr>
        <sz val="8"/>
        <rFont val="Symbol"/>
        <family val="1"/>
      </rPr>
      <t>s</t>
    </r>
    <r>
      <rPr>
        <vertAlign val="subscript"/>
        <sz val="8"/>
        <rFont val="Arial"/>
        <family val="2"/>
      </rPr>
      <t>D</t>
    </r>
    <r>
      <rPr>
        <vertAlign val="superscript"/>
        <sz val="8"/>
        <rFont val="Arial"/>
        <family val="2"/>
      </rPr>
      <t>2</t>
    </r>
    <r>
      <rPr>
        <sz val="8"/>
        <rFont val="Arial"/>
        <family val="2"/>
      </rPr>
      <t>/m)=</t>
    </r>
  </si>
  <si>
    <t>between families</t>
  </si>
  <si>
    <r>
      <t>G</t>
    </r>
    <r>
      <rPr>
        <vertAlign val="subscript"/>
        <sz val="9"/>
        <rFont val="Arial"/>
        <family val="2"/>
      </rPr>
      <t>w</t>
    </r>
    <r>
      <rPr>
        <sz val="9"/>
        <rFont val="Arial"/>
        <family val="2"/>
      </rPr>
      <t>=</t>
    </r>
    <r>
      <rPr>
        <i/>
        <sz val="9"/>
        <rFont val="Arial"/>
        <family val="2"/>
      </rPr>
      <t>i</t>
    </r>
    <r>
      <rPr>
        <i/>
        <vertAlign val="subscript"/>
        <sz val="9"/>
        <rFont val="Arial"/>
        <family val="2"/>
      </rPr>
      <t>w</t>
    </r>
    <r>
      <rPr>
        <sz val="9"/>
        <rFont val="Arial"/>
        <family val="2"/>
      </rPr>
      <t>*a</t>
    </r>
    <r>
      <rPr>
        <vertAlign val="subscript"/>
        <sz val="9"/>
        <rFont val="Arial"/>
        <family val="2"/>
      </rPr>
      <t>3</t>
    </r>
    <r>
      <rPr>
        <vertAlign val="superscript"/>
        <sz val="9"/>
        <rFont val="Arial"/>
        <family val="2"/>
      </rPr>
      <t>2</t>
    </r>
    <r>
      <rPr>
        <sz val="9"/>
        <rFont val="Arial"/>
        <family val="2"/>
      </rPr>
      <t>/a</t>
    </r>
    <r>
      <rPr>
        <vertAlign val="subscript"/>
        <sz val="9"/>
        <rFont val="Arial"/>
        <family val="2"/>
      </rPr>
      <t>2</t>
    </r>
    <r>
      <rPr>
        <sz val="9"/>
        <rFont val="Arial"/>
        <family val="2"/>
      </rPr>
      <t>=</t>
    </r>
  </si>
  <si>
    <t>Genetic predictions for Clonal Mixtures</t>
  </si>
  <si>
    <t>R is a correction from trials to practice, which use differnet sites, different years, different values and different weights</t>
  </si>
  <si>
    <r>
      <t>r</t>
    </r>
    <r>
      <rPr>
        <vertAlign val="subscript"/>
        <sz val="8"/>
        <color indexed="53"/>
        <rFont val="Arial"/>
        <family val="2"/>
      </rPr>
      <t>g</t>
    </r>
    <r>
      <rPr>
        <sz val="8"/>
        <color indexed="53"/>
        <rFont val="Arial"/>
        <family val="2"/>
      </rPr>
      <t xml:space="preserve"> is the correlation between juvenile and true values (definition to be changed)</t>
    </r>
  </si>
  <si>
    <t>rY is juvenile-mature genetic correlateion</t>
  </si>
  <si>
    <t>bf is the among family variance component</t>
  </si>
  <si>
    <t>bw is within family variance component</t>
  </si>
  <si>
    <t>m is members (number of genotypes) per family</t>
  </si>
  <si>
    <r>
      <t>(=N) is</t>
    </r>
    <r>
      <rPr>
        <i/>
        <sz val="8"/>
        <rFont val="Arial"/>
        <family val="2"/>
      </rPr>
      <t xml:space="preserve"> i</t>
    </r>
    <r>
      <rPr>
        <i/>
        <vertAlign val="subscript"/>
        <sz val="8"/>
        <rFont val="Arial"/>
        <family val="2"/>
      </rPr>
      <t>C</t>
    </r>
    <r>
      <rPr>
        <sz val="8"/>
        <rFont val="Arial"/>
        <family val="2"/>
      </rPr>
      <t>=</t>
    </r>
  </si>
  <si>
    <r>
      <t>ic</t>
    </r>
    <r>
      <rPr>
        <sz val="10"/>
        <rFont val="Arial"/>
        <family val="0"/>
      </rPr>
      <t xml:space="preserve"> is selection intensity among clones</t>
    </r>
  </si>
  <si>
    <r>
      <t>if</t>
    </r>
    <r>
      <rPr>
        <sz val="10"/>
        <rFont val="Arial"/>
        <family val="0"/>
      </rPr>
      <t xml:space="preserve"> is selection intensity for among family selection</t>
    </r>
  </si>
  <si>
    <r>
      <t>iw</t>
    </r>
    <r>
      <rPr>
        <sz val="10"/>
        <rFont val="Arial"/>
        <family val="0"/>
      </rPr>
      <t xml:space="preserve"> is selection intensity for within family selection</t>
    </r>
  </si>
  <si>
    <t>p refers here to parents (but avoid that, p usually refers to probability</t>
  </si>
  <si>
    <r>
      <t>G</t>
    </r>
    <r>
      <rPr>
        <b/>
        <vertAlign val="subscript"/>
        <sz val="9"/>
        <rFont val="Arial"/>
        <family val="2"/>
      </rPr>
      <t>1</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</si>
  <si>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r>
      <t>G</t>
    </r>
    <r>
      <rPr>
        <b/>
        <vertAlign val="subscript"/>
        <sz val="9"/>
        <rFont val="Arial"/>
        <family val="2"/>
      </rPr>
      <t>2</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</si>
  <si>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r>
      <t>G</t>
    </r>
    <r>
      <rPr>
        <b/>
        <vertAlign val="subscript"/>
        <sz val="8"/>
        <rFont val="Arial"/>
        <family val="2"/>
      </rPr>
      <t>3</t>
    </r>
    <r>
      <rPr>
        <b/>
        <sz val="8"/>
        <rFont val="Arial"/>
        <family val="2"/>
      </rPr>
      <t>=</t>
    </r>
    <r>
      <rPr>
        <sz val="8"/>
        <rFont val="Symbol"/>
        <family val="1"/>
      </rPr>
      <t>s</t>
    </r>
    <r>
      <rPr>
        <vertAlign val="subscript"/>
        <sz val="8"/>
        <rFont val="Arial"/>
        <family val="2"/>
      </rPr>
      <t>Am</t>
    </r>
    <r>
      <rPr>
        <sz val="8"/>
        <rFont val="Arial"/>
        <family val="2"/>
      </rPr>
      <t>r</t>
    </r>
    <r>
      <rPr>
        <vertAlign val="subscript"/>
        <sz val="8"/>
        <rFont val="Arial"/>
        <family val="2"/>
      </rPr>
      <t>Y</t>
    </r>
    <r>
      <rPr>
        <sz val="7"/>
        <rFont val="Arial"/>
        <family val="2"/>
      </rPr>
      <t>(</t>
    </r>
    <r>
      <rPr>
        <sz val="8"/>
        <rFont val="Arial"/>
        <family val="2"/>
      </rPr>
      <t>b</t>
    </r>
    <r>
      <rPr>
        <vertAlign val="subscript"/>
        <sz val="8"/>
        <rFont val="Arial"/>
        <family val="2"/>
      </rPr>
      <t>f</t>
    </r>
    <r>
      <rPr>
        <sz val="8"/>
        <rFont val="Arial"/>
        <family val="2"/>
      </rPr>
      <t>+b</t>
    </r>
    <r>
      <rPr>
        <vertAlign val="subscript"/>
        <sz val="8"/>
        <rFont val="Arial"/>
        <family val="2"/>
      </rPr>
      <t>w</t>
    </r>
    <r>
      <rPr>
        <sz val="7"/>
        <rFont val="Arial"/>
        <family val="2"/>
      </rPr>
      <t>)</t>
    </r>
    <r>
      <rPr>
        <sz val="8"/>
        <rFont val="Arial"/>
        <family val="2"/>
      </rPr>
      <t>=</t>
    </r>
  </si>
  <si>
    <r>
      <t>G</t>
    </r>
    <r>
      <rPr>
        <b/>
        <vertAlign val="subscript"/>
        <sz val="8"/>
        <rFont val="Arial"/>
        <family val="2"/>
      </rPr>
      <t>4</t>
    </r>
    <r>
      <rPr>
        <b/>
        <sz val="8"/>
        <rFont val="Arial"/>
        <family val="2"/>
      </rPr>
      <t>=</t>
    </r>
    <r>
      <rPr>
        <sz val="8"/>
        <rFont val="Symbol"/>
        <family val="1"/>
      </rPr>
      <t>s</t>
    </r>
    <r>
      <rPr>
        <vertAlign val="subscript"/>
        <sz val="8"/>
        <rFont val="Arial"/>
        <family val="2"/>
      </rPr>
      <t>Am</t>
    </r>
    <r>
      <rPr>
        <sz val="8"/>
        <rFont val="Arial"/>
        <family val="2"/>
      </rPr>
      <t>r</t>
    </r>
    <r>
      <rPr>
        <vertAlign val="subscript"/>
        <sz val="8"/>
        <rFont val="Arial"/>
        <family val="2"/>
      </rPr>
      <t>Y</t>
    </r>
    <r>
      <rPr>
        <sz val="7"/>
        <rFont val="Arial"/>
        <family val="2"/>
      </rPr>
      <t>(</t>
    </r>
    <r>
      <rPr>
        <sz val="8"/>
        <rFont val="Arial"/>
        <family val="2"/>
      </rPr>
      <t>b</t>
    </r>
    <r>
      <rPr>
        <vertAlign val="subscript"/>
        <sz val="8"/>
        <rFont val="Arial"/>
        <family val="2"/>
      </rPr>
      <t>f</t>
    </r>
    <r>
      <rPr>
        <sz val="8"/>
        <rFont val="Arial"/>
        <family val="2"/>
      </rPr>
      <t>+b</t>
    </r>
    <r>
      <rPr>
        <vertAlign val="subscript"/>
        <sz val="8"/>
        <rFont val="Arial"/>
        <family val="2"/>
      </rPr>
      <t>w</t>
    </r>
    <r>
      <rPr>
        <sz val="7"/>
        <rFont val="Arial"/>
        <family val="2"/>
      </rPr>
      <t>)</t>
    </r>
    <r>
      <rPr>
        <sz val="8"/>
        <rFont val="Arial"/>
        <family val="2"/>
      </rPr>
      <t>=</t>
    </r>
  </si>
  <si>
    <r>
      <t>G</t>
    </r>
    <r>
      <rPr>
        <b/>
        <vertAlign val="subscript"/>
        <sz val="9"/>
        <rFont val="Arial"/>
        <family val="2"/>
      </rPr>
      <t>5</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</si>
  <si>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t>Status number per half sib</t>
  </si>
  <si>
    <t>Statius number per full sib</t>
  </si>
  <si>
    <t>Inbreeding in a seed orchard, F=</t>
  </si>
  <si>
    <r>
      <t>Total status number (N</t>
    </r>
    <r>
      <rPr>
        <vertAlign val="subscript"/>
        <sz val="8"/>
        <rFont val="Arial"/>
        <family val="2"/>
      </rPr>
      <t>s</t>
    </r>
    <r>
      <rPr>
        <sz val="8"/>
        <rFont val="Arial"/>
        <family val="2"/>
      </rPr>
      <t>) (assuming unique fathers for each genotype)</t>
    </r>
  </si>
  <si>
    <t>Stage</t>
  </si>
  <si>
    <r>
      <t>Gain=ih</t>
    </r>
    <r>
      <rPr>
        <sz val="8"/>
        <rFont val="Symbol"/>
        <family val="1"/>
      </rPr>
      <t>s</t>
    </r>
    <r>
      <rPr>
        <vertAlign val="subscript"/>
        <sz val="8"/>
        <rFont val="Arial"/>
        <family val="2"/>
      </rPr>
      <t>A</t>
    </r>
  </si>
  <si>
    <r>
      <t>Var=1-h</t>
    </r>
    <r>
      <rPr>
        <vertAlign val="superscript"/>
        <sz val="8"/>
        <rFont val="Arial"/>
        <family val="2"/>
      </rPr>
      <t>2</t>
    </r>
    <r>
      <rPr>
        <sz val="8"/>
        <rFont val="Arial"/>
        <family val="2"/>
      </rPr>
      <t>i(i-t)</t>
    </r>
  </si>
  <si>
    <t>m is number of clones in G5</t>
  </si>
  <si>
    <r>
      <t>T</t>
    </r>
    <r>
      <rPr>
        <b/>
        <vertAlign val="subscript"/>
        <sz val="8"/>
        <rFont val="Arial"/>
        <family val="0"/>
      </rPr>
      <t>&gt;m</t>
    </r>
    <r>
      <rPr>
        <b/>
        <sz val="8"/>
        <rFont val="Arial"/>
        <family val="0"/>
      </rPr>
      <t xml:space="preserve">=Time after </t>
    </r>
    <r>
      <rPr>
        <b/>
        <sz val="8"/>
        <color indexed="50"/>
        <rFont val="Arial"/>
        <family val="2"/>
      </rPr>
      <t>m</t>
    </r>
    <r>
      <rPr>
        <b/>
        <sz val="8"/>
        <rFont val="Arial"/>
        <family val="0"/>
      </rPr>
      <t>easuring selection trial</t>
    </r>
  </si>
  <si>
    <r>
      <t>T</t>
    </r>
    <r>
      <rPr>
        <b/>
        <vertAlign val="subscript"/>
        <sz val="8"/>
        <rFont val="Arial"/>
        <family val="0"/>
      </rPr>
      <t>&lt;p</t>
    </r>
    <r>
      <rPr>
        <b/>
        <sz val="8"/>
        <rFont val="Arial"/>
        <family val="0"/>
      </rPr>
      <t xml:space="preserve">=Time before </t>
    </r>
    <r>
      <rPr>
        <b/>
        <sz val="8"/>
        <color indexed="50"/>
        <rFont val="Arial"/>
        <family val="2"/>
      </rPr>
      <t>p</t>
    </r>
    <r>
      <rPr>
        <b/>
        <sz val="8"/>
        <rFont val="Arial"/>
        <family val="0"/>
      </rPr>
      <t>lanting selection trial</t>
    </r>
  </si>
  <si>
    <t>Dag Lindgren Last edit 2000-10-06</t>
  </si>
  <si>
    <t>aim</t>
  </si>
  <si>
    <t>restrictions</t>
  </si>
  <si>
    <t>rAI and rTI</t>
  </si>
  <si>
    <t>Correlations</t>
  </si>
  <si>
    <t>Selection intensity</t>
  </si>
  <si>
    <r>
      <t>r</t>
    </r>
    <r>
      <rPr>
        <vertAlign val="subscript"/>
        <sz val="9"/>
        <rFont val="Arial"/>
        <family val="2"/>
      </rPr>
      <t>Y</t>
    </r>
    <r>
      <rPr>
        <sz val="9"/>
        <rFont val="Arial"/>
        <family val="2"/>
      </rPr>
      <t>(=rg) =</t>
    </r>
  </si>
  <si>
    <r>
      <t>a</t>
    </r>
    <r>
      <rPr>
        <vertAlign val="subscript"/>
        <sz val="8"/>
        <rFont val="Arial"/>
        <family val="2"/>
      </rPr>
      <t>2</t>
    </r>
    <r>
      <rPr>
        <sz val="8"/>
        <rFont val="Arial"/>
        <family val="2"/>
      </rPr>
      <t>=sqrt(0.5</t>
    </r>
    <r>
      <rPr>
        <sz val="8"/>
        <rFont val="Symbol"/>
        <family val="1"/>
      </rPr>
      <t>s</t>
    </r>
    <r>
      <rPr>
        <vertAlign val="subscript"/>
        <sz val="8"/>
        <rFont val="Symbol"/>
        <family val="1"/>
      </rPr>
      <t>A</t>
    </r>
    <r>
      <rPr>
        <vertAlign val="superscript"/>
        <sz val="8"/>
        <rFont val="Arial"/>
        <family val="2"/>
      </rPr>
      <t>2</t>
    </r>
    <r>
      <rPr>
        <sz val="8"/>
        <rFont val="Arial"/>
        <family val="2"/>
      </rPr>
      <t>+0.25</t>
    </r>
    <r>
      <rPr>
        <sz val="8"/>
        <rFont val="Symbol"/>
        <family val="1"/>
      </rPr>
      <t>s</t>
    </r>
    <r>
      <rPr>
        <vertAlign val="subscript"/>
        <sz val="8"/>
        <rFont val="Arial"/>
        <family val="2"/>
      </rPr>
      <t>D</t>
    </r>
    <r>
      <rPr>
        <vertAlign val="superscript"/>
        <sz val="8"/>
        <rFont val="Symbol"/>
        <family val="1"/>
      </rPr>
      <t>2</t>
    </r>
    <r>
      <rPr>
        <sz val="8"/>
        <rFont val="Arial"/>
        <family val="2"/>
      </rPr>
      <t>+(0.5s</t>
    </r>
    <r>
      <rPr>
        <vertAlign val="subscript"/>
        <sz val="8"/>
        <rFont val="Arial"/>
        <family val="2"/>
      </rPr>
      <t>A</t>
    </r>
    <r>
      <rPr>
        <vertAlign val="superscript"/>
        <sz val="8"/>
        <rFont val="Arial"/>
        <family val="2"/>
      </rPr>
      <t>2</t>
    </r>
    <r>
      <rPr>
        <sz val="8"/>
        <rFont val="Arial"/>
        <family val="2"/>
      </rPr>
      <t>+0.75</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/n)/m)=</t>
    </r>
  </si>
  <si>
    <t>What?</t>
  </si>
  <si>
    <t>Tutorial</t>
  </si>
  <si>
    <t>Get started</t>
  </si>
  <si>
    <t>General comments</t>
  </si>
  <si>
    <t>About</t>
  </si>
  <si>
    <r>
      <t>a</t>
    </r>
    <r>
      <rPr>
        <vertAlign val="subscript"/>
        <sz val="8"/>
        <rFont val="Arial"/>
        <family val="2"/>
      </rPr>
      <t>1</t>
    </r>
    <r>
      <rPr>
        <sz val="8"/>
        <rFont val="Arial"/>
        <family val="2"/>
      </rPr>
      <t>=0.5</t>
    </r>
    <r>
      <rPr>
        <sz val="8"/>
        <rFont val="Symbol"/>
        <family val="1"/>
      </rPr>
      <t>s</t>
    </r>
    <r>
      <rPr>
        <vertAlign val="subscript"/>
        <sz val="8"/>
        <rFont val="Arial"/>
        <family val="2"/>
      </rPr>
      <t>A</t>
    </r>
    <r>
      <rPr>
        <sz val="8"/>
        <rFont val="Arial"/>
        <family val="2"/>
      </rPr>
      <t>=</t>
    </r>
    <r>
      <rPr>
        <sz val="8"/>
        <rFont val="Symbol"/>
        <family val="1"/>
      </rPr>
      <t>s</t>
    </r>
    <r>
      <rPr>
        <vertAlign val="subscript"/>
        <sz val="8"/>
        <rFont val="Arial"/>
        <family val="2"/>
      </rPr>
      <t>XA</t>
    </r>
    <r>
      <rPr>
        <sz val="8"/>
        <rFont val="Arial"/>
        <family val="2"/>
      </rPr>
      <t>/</t>
    </r>
    <r>
      <rPr>
        <sz val="8"/>
        <rFont val="Symbol"/>
        <family val="1"/>
      </rPr>
      <t>s</t>
    </r>
    <r>
      <rPr>
        <vertAlign val="subscript"/>
        <sz val="8"/>
        <rFont val="Arial"/>
        <family val="2"/>
      </rPr>
      <t>A</t>
    </r>
    <r>
      <rPr>
        <sz val="8"/>
        <rFont val="Arial"/>
        <family val="2"/>
      </rPr>
      <t>=</t>
    </r>
    <r>
      <rPr>
        <vertAlign val="subscript"/>
        <sz val="8"/>
        <rFont val="Arial"/>
        <family val="2"/>
      </rPr>
      <t xml:space="preserve">    </t>
    </r>
  </si>
  <si>
    <t>constraints</t>
  </si>
  <si>
    <t xml:space="preserve">These are </t>
  </si>
  <si>
    <t>Note that S29:T35 were corrected October 02</t>
  </si>
  <si>
    <t xml:space="preserve">Purpose </t>
  </si>
  <si>
    <t>Assumptions, general for the workbook</t>
  </si>
  <si>
    <t>Initial settings</t>
  </si>
  <si>
    <t>Downloading</t>
  </si>
  <si>
    <t>Trouble?</t>
  </si>
  <si>
    <t>Formula</t>
  </si>
  <si>
    <t>General about Excel sheets on the Tree Breeding Tools WEB site</t>
  </si>
  <si>
    <t>Acknowledgements</t>
  </si>
  <si>
    <t>Description</t>
  </si>
  <si>
    <t>Changes 02-10</t>
  </si>
  <si>
    <t>Scale</t>
  </si>
  <si>
    <t>Dag Lindgren Last edit 2002-10-08</t>
  </si>
  <si>
    <t>Possible modifications</t>
  </si>
  <si>
    <t>Email</t>
  </si>
  <si>
    <r>
      <t>s</t>
    </r>
    <r>
      <rPr>
        <vertAlign val="subscript"/>
        <sz val="9"/>
        <rFont val="Arial"/>
        <family val="2"/>
      </rPr>
      <t>Am</t>
    </r>
  </si>
  <si>
    <t>%</t>
  </si>
  <si>
    <r>
      <t>G</t>
    </r>
    <r>
      <rPr>
        <b/>
        <vertAlign val="subscript"/>
        <sz val="9"/>
        <rFont val="Arial"/>
        <family val="2"/>
      </rPr>
      <t>1</t>
    </r>
    <r>
      <rPr>
        <sz val="9"/>
        <rFont val="Arial"/>
        <family val="2"/>
      </rPr>
      <t>=</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</si>
  <si>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r>
      <t>G</t>
    </r>
    <r>
      <rPr>
        <b/>
        <vertAlign val="subscript"/>
        <sz val="9"/>
        <rFont val="Arial"/>
        <family val="2"/>
      </rPr>
      <t>2</t>
    </r>
    <r>
      <rPr>
        <sz val="9"/>
        <rFont val="Arial"/>
        <family val="2"/>
      </rPr>
      <t>=</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</si>
  <si>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r>
      <t>G</t>
    </r>
    <r>
      <rPr>
        <b/>
        <vertAlign val="subscript"/>
        <sz val="8"/>
        <rFont val="Arial"/>
        <family val="2"/>
      </rPr>
      <t>3</t>
    </r>
    <r>
      <rPr>
        <b/>
        <sz val="8"/>
        <rFont val="Arial"/>
        <family val="2"/>
      </rPr>
      <t>=</t>
    </r>
    <r>
      <rPr>
        <sz val="8"/>
        <rFont val="Arial"/>
        <family val="2"/>
      </rPr>
      <t>r</t>
    </r>
    <r>
      <rPr>
        <vertAlign val="subscript"/>
        <sz val="8"/>
        <rFont val="Arial"/>
        <family val="2"/>
      </rPr>
      <t>Y</t>
    </r>
    <r>
      <rPr>
        <sz val="7"/>
        <rFont val="Arial"/>
        <family val="2"/>
      </rPr>
      <t>(</t>
    </r>
    <r>
      <rPr>
        <sz val="8"/>
        <rFont val="Arial"/>
        <family val="2"/>
      </rPr>
      <t>b</t>
    </r>
    <r>
      <rPr>
        <vertAlign val="subscript"/>
        <sz val="8"/>
        <rFont val="Arial"/>
        <family val="2"/>
      </rPr>
      <t>f</t>
    </r>
    <r>
      <rPr>
        <sz val="8"/>
        <rFont val="Arial"/>
        <family val="2"/>
      </rPr>
      <t>+b</t>
    </r>
    <r>
      <rPr>
        <vertAlign val="subscript"/>
        <sz val="8"/>
        <rFont val="Arial"/>
        <family val="2"/>
      </rPr>
      <t>w</t>
    </r>
    <r>
      <rPr>
        <sz val="7"/>
        <rFont val="Arial"/>
        <family val="2"/>
      </rPr>
      <t>)</t>
    </r>
    <r>
      <rPr>
        <sz val="8"/>
        <rFont val="Arial"/>
        <family val="2"/>
      </rPr>
      <t>=</t>
    </r>
  </si>
  <si>
    <r>
      <t>G</t>
    </r>
    <r>
      <rPr>
        <b/>
        <vertAlign val="subscript"/>
        <sz val="8"/>
        <rFont val="Arial"/>
        <family val="2"/>
      </rPr>
      <t>4</t>
    </r>
    <r>
      <rPr>
        <b/>
        <sz val="8"/>
        <rFont val="Arial"/>
        <family val="2"/>
      </rPr>
      <t>=</t>
    </r>
    <r>
      <rPr>
        <sz val="8"/>
        <rFont val="Arial"/>
        <family val="2"/>
      </rPr>
      <t>r</t>
    </r>
    <r>
      <rPr>
        <vertAlign val="subscript"/>
        <sz val="8"/>
        <rFont val="Arial"/>
        <family val="2"/>
      </rPr>
      <t>Y</t>
    </r>
    <r>
      <rPr>
        <sz val="7"/>
        <rFont val="Arial"/>
        <family val="2"/>
      </rPr>
      <t>(</t>
    </r>
    <r>
      <rPr>
        <sz val="8"/>
        <rFont val="Arial"/>
        <family val="2"/>
      </rPr>
      <t>b</t>
    </r>
    <r>
      <rPr>
        <vertAlign val="subscript"/>
        <sz val="8"/>
        <rFont val="Arial"/>
        <family val="2"/>
      </rPr>
      <t>f</t>
    </r>
    <r>
      <rPr>
        <sz val="8"/>
        <rFont val="Arial"/>
        <family val="2"/>
      </rPr>
      <t>+b</t>
    </r>
    <r>
      <rPr>
        <vertAlign val="subscript"/>
        <sz val="8"/>
        <rFont val="Arial"/>
        <family val="2"/>
      </rPr>
      <t>w</t>
    </r>
    <r>
      <rPr>
        <sz val="7"/>
        <rFont val="Arial"/>
        <family val="2"/>
      </rPr>
      <t>)</t>
    </r>
    <r>
      <rPr>
        <sz val="8"/>
        <rFont val="Arial"/>
        <family val="2"/>
      </rPr>
      <t>=</t>
    </r>
  </si>
  <si>
    <r>
      <t>G</t>
    </r>
    <r>
      <rPr>
        <b/>
        <vertAlign val="subscript"/>
        <sz val="9"/>
        <rFont val="Arial"/>
        <family val="2"/>
      </rPr>
      <t>5</t>
    </r>
    <r>
      <rPr>
        <sz val="9"/>
        <rFont val="Arial"/>
        <family val="2"/>
      </rPr>
      <t>=</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t>
    </r>
  </si>
  <si>
    <t xml:space="preserve"> =Breeding Value of normal trees (BV0) functioning as parents to open-pollination</t>
  </si>
  <si>
    <r>
      <t>BV</t>
    </r>
    <r>
      <rPr>
        <b/>
        <vertAlign val="subscript"/>
        <sz val="9"/>
        <rFont val="Arial"/>
        <family val="2"/>
      </rPr>
      <t>1</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+100=</t>
    </r>
  </si>
  <si>
    <r>
      <t>BV</t>
    </r>
    <r>
      <rPr>
        <b/>
        <vertAlign val="subscript"/>
        <sz val="9"/>
        <rFont val="Arial"/>
        <family val="2"/>
      </rPr>
      <t>2</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+100=</t>
    </r>
  </si>
  <si>
    <r>
      <t>BV</t>
    </r>
    <r>
      <rPr>
        <b/>
        <vertAlign val="subscript"/>
        <sz val="8"/>
        <rFont val="Arial"/>
        <family val="2"/>
      </rPr>
      <t>3</t>
    </r>
    <r>
      <rPr>
        <b/>
        <sz val="8"/>
        <rFont val="Arial"/>
        <family val="2"/>
      </rPr>
      <t>=</t>
    </r>
    <r>
      <rPr>
        <sz val="8"/>
        <rFont val="Symbol"/>
        <family val="1"/>
      </rPr>
      <t>s</t>
    </r>
    <r>
      <rPr>
        <vertAlign val="subscript"/>
        <sz val="8"/>
        <rFont val="Arial"/>
        <family val="2"/>
      </rPr>
      <t>Am</t>
    </r>
    <r>
      <rPr>
        <sz val="8"/>
        <rFont val="Arial"/>
        <family val="2"/>
      </rPr>
      <t>r</t>
    </r>
    <r>
      <rPr>
        <vertAlign val="subscript"/>
        <sz val="8"/>
        <rFont val="Arial"/>
        <family val="2"/>
      </rPr>
      <t>Y</t>
    </r>
    <r>
      <rPr>
        <sz val="7"/>
        <rFont val="Arial"/>
        <family val="2"/>
      </rPr>
      <t>(</t>
    </r>
    <r>
      <rPr>
        <sz val="8"/>
        <rFont val="Arial"/>
        <family val="2"/>
      </rPr>
      <t>b</t>
    </r>
    <r>
      <rPr>
        <vertAlign val="subscript"/>
        <sz val="8"/>
        <rFont val="Arial"/>
        <family val="2"/>
      </rPr>
      <t>f</t>
    </r>
    <r>
      <rPr>
        <sz val="8"/>
        <rFont val="Arial"/>
        <family val="2"/>
      </rPr>
      <t>+b</t>
    </r>
    <r>
      <rPr>
        <vertAlign val="subscript"/>
        <sz val="8"/>
        <rFont val="Arial"/>
        <family val="2"/>
      </rPr>
      <t>w</t>
    </r>
    <r>
      <rPr>
        <sz val="7"/>
        <rFont val="Arial"/>
        <family val="2"/>
      </rPr>
      <t>)+100</t>
    </r>
    <r>
      <rPr>
        <sz val="8"/>
        <rFont val="Arial"/>
        <family val="2"/>
      </rPr>
      <t>=</t>
    </r>
  </si>
  <si>
    <r>
      <t>BV</t>
    </r>
    <r>
      <rPr>
        <b/>
        <vertAlign val="subscript"/>
        <sz val="9"/>
        <rFont val="Arial"/>
        <family val="2"/>
      </rPr>
      <t>5</t>
    </r>
    <r>
      <rPr>
        <sz val="9"/>
        <rFont val="Arial"/>
        <family val="2"/>
      </rPr>
      <t>=</t>
    </r>
    <r>
      <rPr>
        <sz val="9"/>
        <rFont val="Symbol"/>
        <family val="1"/>
      </rPr>
      <t>s</t>
    </r>
    <r>
      <rPr>
        <vertAlign val="subscript"/>
        <sz val="9"/>
        <rFont val="Arial"/>
        <family val="2"/>
      </rPr>
      <t>Am</t>
    </r>
    <r>
      <rPr>
        <sz val="9"/>
        <rFont val="Arial"/>
        <family val="2"/>
      </rPr>
      <t>r</t>
    </r>
    <r>
      <rPr>
        <vertAlign val="subscript"/>
        <sz val="9"/>
        <rFont val="Arial"/>
        <family val="2"/>
      </rPr>
      <t>Y</t>
    </r>
    <r>
      <rPr>
        <i/>
        <sz val="9"/>
        <rFont val="Arial"/>
        <family val="2"/>
      </rPr>
      <t>i</t>
    </r>
    <r>
      <rPr>
        <sz val="9"/>
        <rFont val="Arial"/>
        <family val="2"/>
      </rPr>
      <t>r</t>
    </r>
    <r>
      <rPr>
        <vertAlign val="subscript"/>
        <sz val="9"/>
        <rFont val="Arial"/>
        <family val="2"/>
      </rPr>
      <t>AI</t>
    </r>
    <r>
      <rPr>
        <sz val="9"/>
        <rFont val="Arial"/>
        <family val="2"/>
      </rPr>
      <t>+100=</t>
    </r>
  </si>
  <si>
    <t>Genetic value</t>
  </si>
  <si>
    <t xml:space="preserve"> =Breeding Value of plus trees (=100, % of reference value)</t>
  </si>
  <si>
    <r>
      <t xml:space="preserve"> </t>
    </r>
    <r>
      <rPr>
        <sz val="8"/>
        <rFont val="Symbol"/>
        <family val="1"/>
      </rPr>
      <t>s</t>
    </r>
    <r>
      <rPr>
        <vertAlign val="subscript"/>
        <sz val="8"/>
        <rFont val="Arial"/>
        <family val="2"/>
      </rPr>
      <t>P</t>
    </r>
    <r>
      <rPr>
        <vertAlign val="superscript"/>
        <sz val="8"/>
        <rFont val="Arial"/>
        <family val="2"/>
      </rPr>
      <t>2</t>
    </r>
    <r>
      <rPr>
        <sz val="8"/>
        <rFont val="Arial"/>
        <family val="2"/>
      </rPr>
      <t>=</t>
    </r>
    <r>
      <rPr>
        <sz val="8"/>
        <rFont val="Symbol"/>
        <family val="1"/>
      </rPr>
      <t>s</t>
    </r>
    <r>
      <rPr>
        <vertAlign val="subscript"/>
        <sz val="8"/>
        <rFont val="Arial"/>
        <family val="2"/>
      </rPr>
      <t>A</t>
    </r>
    <r>
      <rPr>
        <vertAlign val="superscript"/>
        <sz val="8"/>
        <rFont val="Arial"/>
        <family val="2"/>
      </rPr>
      <t>2</t>
    </r>
    <r>
      <rPr>
        <sz val="8"/>
        <rFont val="Arial"/>
        <family val="2"/>
      </rPr>
      <t>+</t>
    </r>
    <r>
      <rPr>
        <sz val="8"/>
        <rFont val="Symbol"/>
        <family val="1"/>
      </rPr>
      <t>s</t>
    </r>
    <r>
      <rPr>
        <vertAlign val="subscript"/>
        <sz val="8"/>
        <rFont val="Arial"/>
        <family val="2"/>
      </rPr>
      <t>D</t>
    </r>
    <r>
      <rPr>
        <vertAlign val="superscript"/>
        <sz val="8"/>
        <rFont val="Arial"/>
        <family val="2"/>
      </rPr>
      <t>2</t>
    </r>
    <r>
      <rPr>
        <sz val="8"/>
        <rFont val="Arial"/>
        <family val="2"/>
      </rPr>
      <t>+</t>
    </r>
    <r>
      <rPr>
        <sz val="8"/>
        <rFont val="Symbol"/>
        <family val="1"/>
      </rPr>
      <t>s</t>
    </r>
    <r>
      <rPr>
        <vertAlign val="subscript"/>
        <sz val="8"/>
        <rFont val="Arial"/>
        <family val="2"/>
      </rPr>
      <t>E</t>
    </r>
    <r>
      <rPr>
        <vertAlign val="superscript"/>
        <sz val="8"/>
        <rFont val="Arial"/>
        <family val="2"/>
      </rPr>
      <t>2</t>
    </r>
    <r>
      <rPr>
        <sz val="8"/>
        <rFont val="Arial"/>
        <family val="2"/>
      </rPr>
      <t>=</t>
    </r>
  </si>
  <si>
    <r>
      <t>Group coancestry (=0.5/N</t>
    </r>
    <r>
      <rPr>
        <vertAlign val="subscript"/>
        <sz val="8"/>
        <rFont val="Arial"/>
        <family val="2"/>
      </rPr>
      <t>s</t>
    </r>
    <r>
      <rPr>
        <sz val="8"/>
        <rFont val="Arial"/>
        <family val="2"/>
      </rPr>
      <t>)</t>
    </r>
  </si>
  <si>
    <t>Reduction for lost diversity</t>
  </si>
  <si>
    <t>Stand seed comparison</t>
  </si>
  <si>
    <t>Seed orchard benefit</t>
  </si>
  <si>
    <t>Reduction for selfing</t>
  </si>
  <si>
    <t>Reduction for other inbreeding</t>
  </si>
  <si>
    <t>Possible future modifications</t>
  </si>
  <si>
    <t>Additional factors for calculating the benefit of seed orchard seeds and stand seeds</t>
  </si>
  <si>
    <t>Genetic value of trees in seed orchard</t>
  </si>
  <si>
    <t>number of clones in seed orchard</t>
  </si>
  <si>
    <t>Reduction for pollen migration into seed orchard</t>
  </si>
  <si>
    <t>Gain with plus tree average as zero in units of mature sd for goal add var</t>
  </si>
  <si>
    <t>Genetic value of selections in percent of the plus tree average</t>
  </si>
  <si>
    <t>This sheet was last edited by Dag Lindgren 02-10-10</t>
  </si>
  <si>
    <t>Excel sheets on the Tree Breeding Tools WEB site</t>
  </si>
  <si>
    <t>Status number (=selections)</t>
  </si>
  <si>
    <t>Cost (plant number)</t>
  </si>
  <si>
    <t>General settings for all aternatives</t>
  </si>
  <si>
    <t xml:space="preserve">Color codes are: </t>
  </si>
  <si>
    <t>Dag Lindgren Last edit 2002-10-11</t>
  </si>
</sst>
</file>

<file path=xl/styles.xml><?xml version="1.0" encoding="utf-8"?>
<styleSheet xmlns="http://schemas.openxmlformats.org/spreadsheetml/2006/main">
  <numFmts count="4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mm/dd/yy"/>
    <numFmt numFmtId="184" formatCode="mmmm\ d\,\ yyyy"/>
    <numFmt numFmtId="185" formatCode="d/mmm/yy"/>
    <numFmt numFmtId="186" formatCode="0E+00"/>
    <numFmt numFmtId="187" formatCode="0.0000000"/>
    <numFmt numFmtId="188" formatCode="0.000000"/>
    <numFmt numFmtId="189" formatCode="0.00000"/>
    <numFmt numFmtId="190" formatCode="_-* #,##0.000\ _k_r_-;\-* #,##0.000\ _k_r_-;_-* &quot;-&quot;??\ _k_r_-;_-@_-"/>
    <numFmt numFmtId="191" formatCode="_-* #,##0.0000_-;\-* #,##0.0000_-;_-* &quot;-&quot;????_-;_-@_-"/>
    <numFmt numFmtId="192" formatCode="_-* #,##0.000_-;\-* #,##0.000_-;_-* &quot;-&quot;???_-;_-@_-"/>
    <numFmt numFmtId="193" formatCode="0.00000000"/>
    <numFmt numFmtId="194" formatCode="0.000000000"/>
    <numFmt numFmtId="195" formatCode="0.0000000000"/>
    <numFmt numFmtId="196" formatCode="&quot;Yes&quot;;&quot;Yes&quot;;&quot;No&quot;"/>
    <numFmt numFmtId="197" formatCode="&quot;True&quot;;&quot;True&quot;;&quot;False&quot;"/>
    <numFmt numFmtId="198" formatCode="&quot;On&quot;;&quot;On&quot;;&quot;Off&quot;"/>
  </numFmts>
  <fonts count="81">
    <font>
      <sz val="10"/>
      <name val="Arial"/>
      <family val="0"/>
    </font>
    <font>
      <b/>
      <sz val="10"/>
      <name val="Arial"/>
      <family val="0"/>
    </font>
    <font>
      <i/>
      <sz val="10"/>
      <name val="Arial"/>
      <family val="0"/>
    </font>
    <font>
      <b/>
      <i/>
      <sz val="10"/>
      <name val="Arial"/>
      <family val="0"/>
    </font>
    <font>
      <sz val="8"/>
      <name val="Arial"/>
      <family val="2"/>
    </font>
    <font>
      <b/>
      <sz val="8"/>
      <name val="Arial"/>
      <family val="0"/>
    </font>
    <font>
      <sz val="8"/>
      <name val="Symbol"/>
      <family val="1"/>
    </font>
    <font>
      <vertAlign val="subscript"/>
      <sz val="8"/>
      <name val="Arial"/>
      <family val="2"/>
    </font>
    <font>
      <vertAlign val="superscript"/>
      <sz val="8"/>
      <name val="Arial"/>
      <family val="2"/>
    </font>
    <font>
      <i/>
      <sz val="8"/>
      <name val="Arial"/>
      <family val="0"/>
    </font>
    <font>
      <i/>
      <vertAlign val="subscript"/>
      <sz val="8"/>
      <name val="Arial"/>
      <family val="2"/>
    </font>
    <font>
      <vertAlign val="subscript"/>
      <sz val="8"/>
      <name val="Symbol"/>
      <family val="1"/>
    </font>
    <font>
      <vertAlign val="superscript"/>
      <sz val="10"/>
      <name val="Arial"/>
      <family val="2"/>
    </font>
    <font>
      <sz val="10"/>
      <color indexed="10"/>
      <name val="Arial"/>
      <family val="2"/>
    </font>
    <font>
      <sz val="8"/>
      <color indexed="12"/>
      <name val="Arial"/>
      <family val="2"/>
    </font>
    <font>
      <sz val="7"/>
      <name val="Arial"/>
      <family val="2"/>
    </font>
    <font>
      <i/>
      <sz val="7"/>
      <name val="Arial"/>
      <family val="2"/>
    </font>
    <font>
      <sz val="8"/>
      <color indexed="8"/>
      <name val="Arial"/>
      <family val="2"/>
    </font>
    <font>
      <sz val="8"/>
      <color indexed="11"/>
      <name val="Arial"/>
      <family val="2"/>
    </font>
    <font>
      <vertAlign val="superscript"/>
      <sz val="8"/>
      <name val="Symbol"/>
      <family val="1"/>
    </font>
    <font>
      <b/>
      <sz val="8"/>
      <color indexed="8"/>
      <name val="Arial"/>
      <family val="2"/>
    </font>
    <font>
      <b/>
      <sz val="10"/>
      <color indexed="10"/>
      <name val="Arial"/>
      <family val="0"/>
    </font>
    <font>
      <b/>
      <sz val="9"/>
      <name val="Arial"/>
      <family val="2"/>
    </font>
    <font>
      <b/>
      <sz val="10"/>
      <color indexed="12"/>
      <name val="Arial"/>
      <family val="2"/>
    </font>
    <font>
      <b/>
      <sz val="10"/>
      <color indexed="14"/>
      <name val="Arial"/>
      <family val="2"/>
    </font>
    <font>
      <b/>
      <sz val="16"/>
      <color indexed="14"/>
      <name val="Arial"/>
      <family val="2"/>
    </font>
    <font>
      <sz val="10"/>
      <color indexed="12"/>
      <name val="Arial"/>
      <family val="0"/>
    </font>
    <font>
      <sz val="8"/>
      <color indexed="10"/>
      <name val="Arial"/>
      <family val="2"/>
    </font>
    <font>
      <sz val="10"/>
      <color indexed="14"/>
      <name val="Arial"/>
      <family val="2"/>
    </font>
    <font>
      <b/>
      <sz val="8"/>
      <color indexed="12"/>
      <name val="Arial"/>
      <family val="0"/>
    </font>
    <font>
      <sz val="10"/>
      <color indexed="9"/>
      <name val="Arial"/>
      <family val="2"/>
    </font>
    <font>
      <sz val="10"/>
      <color indexed="19"/>
      <name val="Arial"/>
      <family val="2"/>
    </font>
    <font>
      <b/>
      <sz val="14"/>
      <color indexed="14"/>
      <name val="Arial"/>
      <family val="2"/>
    </font>
    <font>
      <b/>
      <sz val="12"/>
      <color indexed="14"/>
      <name val="Arial"/>
      <family val="2"/>
    </font>
    <font>
      <sz val="10"/>
      <color indexed="8"/>
      <name val="Arial"/>
      <family val="2"/>
    </font>
    <font>
      <sz val="8"/>
      <color indexed="14"/>
      <name val="Arial"/>
      <family val="2"/>
    </font>
    <font>
      <b/>
      <vertAlign val="subscript"/>
      <sz val="8"/>
      <name val="Arial"/>
      <family val="0"/>
    </font>
    <font>
      <sz val="8"/>
      <name val="Tahoma"/>
      <family val="0"/>
    </font>
    <font>
      <b/>
      <sz val="8"/>
      <name val="Tahoma"/>
      <family val="0"/>
    </font>
    <font>
      <sz val="10"/>
      <name val="Tahoma"/>
      <family val="2"/>
    </font>
    <font>
      <b/>
      <i/>
      <sz val="10"/>
      <color indexed="10"/>
      <name val="Arial"/>
      <family val="2"/>
    </font>
    <font>
      <sz val="8"/>
      <color indexed="10"/>
      <name val="Tahoma"/>
      <family val="2"/>
    </font>
    <font>
      <b/>
      <sz val="8"/>
      <color indexed="10"/>
      <name val="Tahoma"/>
      <family val="2"/>
    </font>
    <font>
      <b/>
      <i/>
      <sz val="8"/>
      <color indexed="10"/>
      <name val="Tahoma"/>
      <family val="2"/>
    </font>
    <font>
      <b/>
      <sz val="8"/>
      <color indexed="12"/>
      <name val="Tahoma"/>
      <family val="2"/>
    </font>
    <font>
      <sz val="8"/>
      <color indexed="12"/>
      <name val="Tahoma"/>
      <family val="2"/>
    </font>
    <font>
      <b/>
      <sz val="9"/>
      <color indexed="12"/>
      <name val="Arial"/>
      <family val="2"/>
    </font>
    <font>
      <b/>
      <sz val="10"/>
      <color indexed="8"/>
      <name val="Arial"/>
      <family val="2"/>
    </font>
    <font>
      <sz val="8"/>
      <color indexed="14"/>
      <name val="Symbol"/>
      <family val="1"/>
    </font>
    <font>
      <sz val="16"/>
      <color indexed="52"/>
      <name val="Arial"/>
      <family val="2"/>
    </font>
    <font>
      <sz val="9"/>
      <name val="Arial"/>
      <family val="2"/>
    </font>
    <font>
      <vertAlign val="subscript"/>
      <sz val="9"/>
      <name val="Arial"/>
      <family val="2"/>
    </font>
    <font>
      <sz val="9"/>
      <name val="Symbol"/>
      <family val="1"/>
    </font>
    <font>
      <i/>
      <sz val="9"/>
      <name val="Arial"/>
      <family val="2"/>
    </font>
    <font>
      <b/>
      <vertAlign val="subscript"/>
      <sz val="9"/>
      <name val="Arial"/>
      <family val="2"/>
    </font>
    <font>
      <vertAlign val="superscript"/>
      <sz val="9"/>
      <name val="Arial"/>
      <family val="2"/>
    </font>
    <font>
      <i/>
      <vertAlign val="subscript"/>
      <sz val="9"/>
      <name val="Arial"/>
      <family val="2"/>
    </font>
    <font>
      <sz val="9"/>
      <color indexed="14"/>
      <name val="Arial"/>
      <family val="2"/>
    </font>
    <font>
      <sz val="8"/>
      <color indexed="53"/>
      <name val="Arial"/>
      <family val="2"/>
    </font>
    <font>
      <vertAlign val="subscript"/>
      <sz val="8"/>
      <color indexed="53"/>
      <name val="Arial"/>
      <family val="2"/>
    </font>
    <font>
      <b/>
      <sz val="16"/>
      <color indexed="9"/>
      <name val="Arial"/>
      <family val="2"/>
    </font>
    <font>
      <sz val="14"/>
      <color indexed="50"/>
      <name val="Arial"/>
      <family val="2"/>
    </font>
    <font>
      <sz val="10"/>
      <color indexed="61"/>
      <name val="Arial"/>
      <family val="2"/>
    </font>
    <font>
      <b/>
      <sz val="14"/>
      <color indexed="10"/>
      <name val="Arial"/>
      <family val="2"/>
    </font>
    <font>
      <b/>
      <sz val="8"/>
      <color indexed="50"/>
      <name val="Arial"/>
      <family val="2"/>
    </font>
    <font>
      <sz val="9"/>
      <color indexed="16"/>
      <name val="Arial"/>
      <family val="2"/>
    </font>
    <font>
      <b/>
      <sz val="12"/>
      <color indexed="11"/>
      <name val="Arial"/>
      <family val="2"/>
    </font>
    <font>
      <u val="single"/>
      <sz val="10"/>
      <color indexed="36"/>
      <name val="Arial"/>
      <family val="0"/>
    </font>
    <font>
      <u val="single"/>
      <sz val="10"/>
      <color indexed="12"/>
      <name val="Arial"/>
      <family val="0"/>
    </font>
    <font>
      <sz val="8"/>
      <color indexed="14"/>
      <name val="Tahoma"/>
      <family val="2"/>
    </font>
    <font>
      <sz val="8"/>
      <color indexed="16"/>
      <name val="Tahoma"/>
      <family val="2"/>
    </font>
    <font>
      <b/>
      <sz val="10"/>
      <name val="Tahoma"/>
      <family val="2"/>
    </font>
    <font>
      <b/>
      <sz val="8"/>
      <color indexed="17"/>
      <name val="Tahoma"/>
      <family val="2"/>
    </font>
    <font>
      <b/>
      <sz val="8"/>
      <color indexed="14"/>
      <name val="Tahoma"/>
      <family val="2"/>
    </font>
    <font>
      <i/>
      <sz val="10"/>
      <color indexed="10"/>
      <name val="Arial"/>
      <family val="2"/>
    </font>
    <font>
      <vertAlign val="subscript"/>
      <sz val="8"/>
      <name val="Tahoma"/>
      <family val="2"/>
    </font>
    <font>
      <b/>
      <vertAlign val="subscript"/>
      <sz val="8"/>
      <color indexed="57"/>
      <name val="Tahoma"/>
      <family val="2"/>
    </font>
    <font>
      <b/>
      <sz val="8"/>
      <color indexed="57"/>
      <name val="Tahoma"/>
      <family val="2"/>
    </font>
    <font>
      <i/>
      <sz val="10"/>
      <name val="Tahoma"/>
      <family val="2"/>
    </font>
    <font>
      <b/>
      <sz val="10"/>
      <color indexed="14"/>
      <name val="Tahoma"/>
      <family val="2"/>
    </font>
    <font>
      <vertAlign val="subscript"/>
      <sz val="10"/>
      <color indexed="10"/>
      <name val="Arial"/>
      <family val="2"/>
    </font>
  </fonts>
  <fills count="14">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gray0625">
        <bgColor indexed="47"/>
      </patternFill>
    </fill>
    <fill>
      <patternFill patternType="gray0625"/>
    </fill>
    <fill>
      <patternFill patternType="gray0625">
        <bgColor indexed="9"/>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n">
        <color indexed="1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color indexed="14"/>
      </left>
      <right>
        <color indexed="63"/>
      </right>
      <top style="thick">
        <color indexed="14"/>
      </top>
      <bottom>
        <color indexed="63"/>
      </bottom>
    </border>
    <border>
      <left>
        <color indexed="63"/>
      </left>
      <right>
        <color indexed="63"/>
      </right>
      <top style="thick">
        <color indexed="14"/>
      </top>
      <bottom>
        <color indexed="63"/>
      </bottom>
    </border>
    <border>
      <left>
        <color indexed="63"/>
      </left>
      <right style="thick">
        <color indexed="14"/>
      </right>
      <top style="thick">
        <color indexed="14"/>
      </top>
      <bottom>
        <color indexed="63"/>
      </bottom>
    </border>
    <border>
      <left style="thick">
        <color indexed="14"/>
      </left>
      <right>
        <color indexed="63"/>
      </right>
      <top>
        <color indexed="63"/>
      </top>
      <bottom>
        <color indexed="63"/>
      </bottom>
    </border>
    <border>
      <left>
        <color indexed="63"/>
      </left>
      <right style="thick">
        <color indexed="14"/>
      </right>
      <top>
        <color indexed="63"/>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thick">
        <color indexed="14"/>
      </right>
      <top>
        <color indexed="63"/>
      </top>
      <bottom style="thick">
        <color indexed="14"/>
      </bottom>
    </border>
    <border>
      <left style="thick">
        <color indexed="33"/>
      </left>
      <right>
        <color indexed="63"/>
      </right>
      <top style="thick">
        <color indexed="33"/>
      </top>
      <bottom>
        <color indexed="63"/>
      </bottom>
    </border>
    <border>
      <left>
        <color indexed="63"/>
      </left>
      <right>
        <color indexed="63"/>
      </right>
      <top style="thick">
        <color indexed="33"/>
      </top>
      <bottom>
        <color indexed="63"/>
      </bottom>
    </border>
    <border>
      <left>
        <color indexed="63"/>
      </left>
      <right style="thick">
        <color indexed="33"/>
      </right>
      <top style="thick">
        <color indexed="33"/>
      </top>
      <bottom>
        <color indexed="63"/>
      </bottom>
    </border>
    <border>
      <left style="thick">
        <color indexed="33"/>
      </left>
      <right>
        <color indexed="63"/>
      </right>
      <top>
        <color indexed="63"/>
      </top>
      <bottom>
        <color indexed="63"/>
      </bottom>
    </border>
    <border>
      <left>
        <color indexed="63"/>
      </left>
      <right style="thick">
        <color indexed="33"/>
      </right>
      <top>
        <color indexed="63"/>
      </top>
      <bottom>
        <color indexed="63"/>
      </bottom>
    </border>
    <border>
      <left style="thick">
        <color indexed="33"/>
      </left>
      <right>
        <color indexed="63"/>
      </right>
      <top>
        <color indexed="63"/>
      </top>
      <bottom style="thick">
        <color indexed="33"/>
      </bottom>
    </border>
    <border>
      <left>
        <color indexed="63"/>
      </left>
      <right>
        <color indexed="63"/>
      </right>
      <top>
        <color indexed="63"/>
      </top>
      <bottom style="thick">
        <color indexed="33"/>
      </bottom>
    </border>
    <border>
      <left>
        <color indexed="63"/>
      </left>
      <right style="thick">
        <color indexed="33"/>
      </right>
      <top>
        <color indexed="63"/>
      </top>
      <bottom style="thick">
        <color indexed="3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9" fontId="0" fillId="0" borderId="0" applyFont="0" applyFill="0" applyBorder="0" applyAlignment="0" applyProtection="0"/>
  </cellStyleXfs>
  <cellXfs count="31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81" fontId="4" fillId="0" borderId="0" xfId="0" applyNumberFormat="1" applyFont="1" applyAlignment="1">
      <alignment/>
    </xf>
    <xf numFmtId="181" fontId="14" fillId="0" borderId="0" xfId="0" applyNumberFormat="1" applyFont="1" applyAlignment="1">
      <alignment/>
    </xf>
    <xf numFmtId="0" fontId="4" fillId="0" borderId="0" xfId="0" applyFont="1" applyAlignment="1">
      <alignment horizontal="right"/>
    </xf>
    <xf numFmtId="0" fontId="6" fillId="0" borderId="0" xfId="0" applyFont="1" applyAlignment="1">
      <alignment horizontal="right"/>
    </xf>
    <xf numFmtId="0" fontId="17" fillId="0" borderId="0" xfId="0" applyFont="1" applyAlignment="1">
      <alignment/>
    </xf>
    <xf numFmtId="0" fontId="18" fillId="0" borderId="0" xfId="0" applyFont="1" applyFill="1" applyAlignment="1">
      <alignment/>
    </xf>
    <xf numFmtId="0" fontId="4" fillId="0" borderId="0" xfId="0" applyFont="1" applyAlignment="1">
      <alignment horizontal="right"/>
    </xf>
    <xf numFmtId="0" fontId="20" fillId="0" borderId="0" xfId="0" applyFont="1" applyAlignment="1">
      <alignment/>
    </xf>
    <xf numFmtId="180" fontId="14" fillId="0" borderId="0" xfId="0" applyNumberFormat="1" applyFont="1" applyAlignment="1">
      <alignment/>
    </xf>
    <xf numFmtId="0" fontId="14" fillId="0" borderId="0" xfId="0" applyFont="1" applyFill="1" applyAlignment="1">
      <alignment/>
    </xf>
    <xf numFmtId="0" fontId="4" fillId="0" borderId="0" xfId="0" applyFont="1" applyAlignment="1">
      <alignment horizontal="left"/>
    </xf>
    <xf numFmtId="0" fontId="6" fillId="0" borderId="0" xfId="0" applyFont="1" applyAlignment="1">
      <alignment horizontal="left"/>
    </xf>
    <xf numFmtId="0" fontId="14" fillId="2" borderId="0" xfId="0" applyFont="1" applyFill="1" applyAlignment="1">
      <alignment/>
    </xf>
    <xf numFmtId="180" fontId="14" fillId="2" borderId="0" xfId="0" applyNumberFormat="1" applyFont="1" applyFill="1" applyAlignment="1">
      <alignment/>
    </xf>
    <xf numFmtId="0" fontId="21" fillId="2" borderId="0" xfId="0" applyFont="1" applyFill="1" applyAlignment="1">
      <alignment/>
    </xf>
    <xf numFmtId="185" fontId="23" fillId="2" borderId="0" xfId="0" applyNumberFormat="1" applyFont="1" applyFill="1" applyAlignment="1">
      <alignment/>
    </xf>
    <xf numFmtId="190" fontId="14" fillId="0" borderId="0" xfId="15" applyNumberFormat="1" applyFont="1" applyAlignment="1">
      <alignment horizontal="right"/>
    </xf>
    <xf numFmtId="0" fontId="21" fillId="2" borderId="0" xfId="0" applyFont="1" applyFill="1" applyAlignment="1">
      <alignment/>
    </xf>
    <xf numFmtId="0" fontId="17" fillId="0" borderId="0" xfId="0" applyFont="1" applyFill="1" applyAlignment="1">
      <alignment/>
    </xf>
    <xf numFmtId="0" fontId="28" fillId="0" borderId="0" xfId="0" applyFont="1" applyAlignment="1">
      <alignment/>
    </xf>
    <xf numFmtId="0" fontId="27" fillId="0" borderId="0" xfId="0" applyFont="1" applyAlignment="1">
      <alignment/>
    </xf>
    <xf numFmtId="0" fontId="17" fillId="0" borderId="0" xfId="0" applyFont="1" applyAlignment="1">
      <alignment/>
    </xf>
    <xf numFmtId="0" fontId="25" fillId="0" borderId="0" xfId="0" applyFont="1" applyFill="1" applyAlignment="1">
      <alignment vertical="top"/>
    </xf>
    <xf numFmtId="0" fontId="4" fillId="0" borderId="0" xfId="0" applyFont="1" applyAlignment="1">
      <alignment vertical="top"/>
    </xf>
    <xf numFmtId="0" fontId="18" fillId="0" borderId="0" xfId="0" applyFont="1" applyFill="1" applyAlignment="1">
      <alignment vertical="top"/>
    </xf>
    <xf numFmtId="0" fontId="0" fillId="0" borderId="0" xfId="0" applyAlignment="1">
      <alignment vertical="top"/>
    </xf>
    <xf numFmtId="0" fontId="31" fillId="0" borderId="0" xfId="0" applyFont="1" applyAlignment="1">
      <alignment/>
    </xf>
    <xf numFmtId="0" fontId="24" fillId="0" borderId="0" xfId="0" applyFont="1" applyAlignment="1">
      <alignment/>
    </xf>
    <xf numFmtId="0" fontId="0" fillId="0" borderId="1" xfId="0" applyBorder="1" applyAlignment="1">
      <alignment/>
    </xf>
    <xf numFmtId="0" fontId="4" fillId="0" borderId="1" xfId="0" applyFont="1" applyBorder="1" applyAlignment="1">
      <alignment/>
    </xf>
    <xf numFmtId="0" fontId="4" fillId="0" borderId="0" xfId="0" applyFont="1" applyBorder="1" applyAlignment="1">
      <alignment/>
    </xf>
    <xf numFmtId="0" fontId="0" fillId="0" borderId="0" xfId="0" applyBorder="1" applyAlignment="1">
      <alignment/>
    </xf>
    <xf numFmtId="0" fontId="30" fillId="0" borderId="0" xfId="0" applyFont="1" applyBorder="1" applyAlignment="1">
      <alignment/>
    </xf>
    <xf numFmtId="0" fontId="14" fillId="0" borderId="0" xfId="0" applyFont="1" applyBorder="1" applyAlignment="1">
      <alignment/>
    </xf>
    <xf numFmtId="0" fontId="17" fillId="0" borderId="0" xfId="0" applyFont="1" applyBorder="1" applyAlignment="1">
      <alignment/>
    </xf>
    <xf numFmtId="181" fontId="14" fillId="0" borderId="0" xfId="0" applyNumberFormat="1" applyFont="1" applyBorder="1" applyAlignment="1">
      <alignment/>
    </xf>
    <xf numFmtId="0" fontId="3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 fillId="0" borderId="0" xfId="0" applyNumberFormat="1" applyFont="1" applyAlignment="1">
      <alignment horizontal="left" vertical="center"/>
    </xf>
    <xf numFmtId="0" fontId="2" fillId="0" borderId="0" xfId="0" applyFont="1" applyAlignment="1">
      <alignment/>
    </xf>
    <xf numFmtId="0" fontId="40" fillId="2" borderId="0" xfId="0" applyFont="1" applyFill="1" applyAlignment="1">
      <alignment/>
    </xf>
    <xf numFmtId="185" fontId="26" fillId="0" borderId="0" xfId="0" applyNumberFormat="1" applyFont="1" applyFill="1" applyAlignment="1">
      <alignment/>
    </xf>
    <xf numFmtId="0" fontId="33" fillId="0" borderId="0" xfId="0" applyFont="1" applyAlignment="1">
      <alignment/>
    </xf>
    <xf numFmtId="0" fontId="5" fillId="0" borderId="0" xfId="0" applyFont="1" applyBorder="1" applyAlignment="1" quotePrefix="1">
      <alignment/>
    </xf>
    <xf numFmtId="0" fontId="17" fillId="0" borderId="0" xfId="0" applyFont="1" applyBorder="1" applyAlignment="1">
      <alignment/>
    </xf>
    <xf numFmtId="181" fontId="4" fillId="0" borderId="0" xfId="0" applyNumberFormat="1" applyFont="1" applyBorder="1" applyAlignment="1">
      <alignment/>
    </xf>
    <xf numFmtId="0" fontId="4" fillId="0" borderId="0" xfId="0" applyFont="1" applyBorder="1" applyAlignment="1">
      <alignment vertical="top"/>
    </xf>
    <xf numFmtId="0" fontId="28" fillId="0" borderId="0" xfId="0" applyFont="1" applyBorder="1" applyAlignment="1">
      <alignment/>
    </xf>
    <xf numFmtId="0" fontId="4" fillId="0" borderId="0" xfId="0" applyFont="1" applyBorder="1" applyAlignment="1">
      <alignment vertical="top" wrapText="1"/>
    </xf>
    <xf numFmtId="0" fontId="4" fillId="0" borderId="2" xfId="0" applyFont="1" applyBorder="1" applyAlignment="1">
      <alignment/>
    </xf>
    <xf numFmtId="0" fontId="4" fillId="3" borderId="0" xfId="0" applyFont="1" applyFill="1" applyAlignment="1">
      <alignment horizontal="right"/>
    </xf>
    <xf numFmtId="0" fontId="4" fillId="3" borderId="0" xfId="0" applyFont="1" applyFill="1" applyAlignment="1">
      <alignment/>
    </xf>
    <xf numFmtId="0" fontId="4" fillId="0" borderId="0" xfId="0" applyFont="1" applyFill="1" applyAlignment="1">
      <alignment/>
    </xf>
    <xf numFmtId="0" fontId="1" fillId="0" borderId="0" xfId="0" applyFont="1" applyFill="1" applyAlignment="1">
      <alignment horizontal="right"/>
    </xf>
    <xf numFmtId="181" fontId="4" fillId="0" borderId="0" xfId="0" applyNumberFormat="1" applyFont="1" applyFill="1" applyAlignment="1">
      <alignment/>
    </xf>
    <xf numFmtId="0" fontId="0" fillId="0" borderId="0" xfId="0" applyFill="1" applyAlignment="1">
      <alignment/>
    </xf>
    <xf numFmtId="0" fontId="4" fillId="0" borderId="0" xfId="0" applyFont="1" applyFill="1" applyBorder="1" applyAlignment="1">
      <alignment/>
    </xf>
    <xf numFmtId="0" fontId="4" fillId="4" borderId="0" xfId="0" applyFont="1" applyFill="1" applyAlignment="1">
      <alignment/>
    </xf>
    <xf numFmtId="0" fontId="0" fillId="0" borderId="0" xfId="0" applyFill="1" applyAlignment="1">
      <alignment horizontal="center"/>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6" fillId="0" borderId="4" xfId="0" applyFont="1" applyBorder="1" applyAlignment="1">
      <alignment horizontal="right"/>
    </xf>
    <xf numFmtId="0" fontId="14" fillId="0" borderId="5" xfId="0" applyFont="1" applyBorder="1" applyAlignment="1">
      <alignment/>
    </xf>
    <xf numFmtId="0" fontId="4" fillId="0" borderId="4" xfId="0" applyFont="1" applyBorder="1" applyAlignment="1">
      <alignment horizontal="right"/>
    </xf>
    <xf numFmtId="181" fontId="14" fillId="0" borderId="5" xfId="0" applyNumberFormat="1" applyFont="1" applyBorder="1" applyAlignment="1">
      <alignment/>
    </xf>
    <xf numFmtId="0" fontId="4" fillId="0" borderId="6" xfId="0" applyFont="1" applyBorder="1" applyAlignment="1">
      <alignment/>
    </xf>
    <xf numFmtId="0" fontId="21" fillId="0" borderId="0" xfId="0" applyFont="1" applyBorder="1" applyAlignment="1">
      <alignment/>
    </xf>
    <xf numFmtId="0" fontId="21" fillId="0" borderId="5" xfId="0" applyFont="1" applyBorder="1" applyAlignment="1">
      <alignment/>
    </xf>
    <xf numFmtId="0" fontId="23" fillId="2" borderId="7" xfId="0" applyFont="1" applyFill="1" applyBorder="1" applyAlignment="1">
      <alignment/>
    </xf>
    <xf numFmtId="0" fontId="50" fillId="0" borderId="0" xfId="0" applyFont="1" applyAlignment="1">
      <alignment horizontal="right"/>
    </xf>
    <xf numFmtId="0" fontId="52" fillId="0" borderId="0" xfId="0" applyFont="1" applyAlignment="1">
      <alignment horizontal="right"/>
    </xf>
    <xf numFmtId="0" fontId="50" fillId="0" borderId="0" xfId="0" applyFont="1" applyAlignment="1">
      <alignment/>
    </xf>
    <xf numFmtId="0" fontId="50" fillId="0" borderId="0" xfId="0" applyFont="1" applyFill="1" applyAlignment="1">
      <alignment/>
    </xf>
    <xf numFmtId="0" fontId="58" fillId="0" borderId="0" xfId="0" applyFont="1" applyAlignment="1">
      <alignment/>
    </xf>
    <xf numFmtId="0" fontId="24" fillId="0" borderId="8" xfId="0" applyFont="1" applyBorder="1" applyAlignment="1">
      <alignment/>
    </xf>
    <xf numFmtId="0" fontId="4" fillId="0" borderId="9" xfId="0" applyFont="1" applyBorder="1" applyAlignment="1">
      <alignment/>
    </xf>
    <xf numFmtId="0" fontId="6" fillId="0" borderId="9" xfId="0" applyFont="1" applyBorder="1" applyAlignment="1">
      <alignment/>
    </xf>
    <xf numFmtId="0" fontId="14" fillId="0" borderId="9" xfId="0" applyFont="1" applyBorder="1" applyAlignment="1">
      <alignment/>
    </xf>
    <xf numFmtId="0" fontId="17" fillId="0" borderId="9" xfId="0" applyFont="1" applyBorder="1" applyAlignment="1">
      <alignment/>
    </xf>
    <xf numFmtId="0" fontId="4" fillId="0" borderId="10" xfId="0" applyFont="1" applyBorder="1" applyAlignment="1">
      <alignment/>
    </xf>
    <xf numFmtId="0" fontId="1" fillId="0" borderId="11" xfId="0" applyFont="1" applyBorder="1" applyAlignment="1">
      <alignment/>
    </xf>
    <xf numFmtId="0" fontId="22" fillId="0" borderId="0" xfId="0" applyFont="1" applyBorder="1" applyAlignment="1">
      <alignment horizontal="right"/>
    </xf>
    <xf numFmtId="181" fontId="23" fillId="2" borderId="0" xfId="0" applyNumberFormat="1" applyFont="1" applyFill="1" applyBorder="1" applyAlignment="1">
      <alignment/>
    </xf>
    <xf numFmtId="0" fontId="17" fillId="2" borderId="0" xfId="0" applyFont="1" applyFill="1" applyBorder="1" applyAlignment="1">
      <alignment/>
    </xf>
    <xf numFmtId="0" fontId="40" fillId="2" borderId="0" xfId="0" applyFont="1" applyFill="1" applyBorder="1" applyAlignment="1">
      <alignment/>
    </xf>
    <xf numFmtId="0" fontId="40" fillId="2" borderId="12" xfId="0" applyFont="1" applyFill="1" applyBorder="1" applyAlignment="1">
      <alignment/>
    </xf>
    <xf numFmtId="0" fontId="0" fillId="0" borderId="11" xfId="0" applyBorder="1" applyAlignment="1">
      <alignment/>
    </xf>
    <xf numFmtId="0" fontId="4" fillId="0" borderId="0" xfId="0" applyFont="1" applyBorder="1" applyAlignment="1">
      <alignment horizontal="right"/>
    </xf>
    <xf numFmtId="0" fontId="21" fillId="0" borderId="0" xfId="0" applyFont="1" applyFill="1" applyBorder="1" applyAlignment="1">
      <alignment/>
    </xf>
    <xf numFmtId="0" fontId="21" fillId="2" borderId="0" xfId="0" applyFont="1" applyFill="1" applyBorder="1" applyAlignment="1">
      <alignment/>
    </xf>
    <xf numFmtId="0" fontId="15" fillId="0" borderId="0" xfId="0" applyFont="1" applyBorder="1" applyAlignment="1">
      <alignment horizontal="right"/>
    </xf>
    <xf numFmtId="181" fontId="0" fillId="0" borderId="0" xfId="0" applyNumberFormat="1" applyBorder="1" applyAlignment="1">
      <alignment/>
    </xf>
    <xf numFmtId="0" fontId="29" fillId="2" borderId="0" xfId="0" applyFont="1" applyFill="1" applyBorder="1" applyAlignment="1">
      <alignment/>
    </xf>
    <xf numFmtId="0" fontId="4" fillId="0" borderId="12" xfId="0" applyFont="1" applyBorder="1" applyAlignment="1">
      <alignment/>
    </xf>
    <xf numFmtId="1" fontId="14" fillId="0" borderId="0" xfId="0" applyNumberFormat="1" applyFont="1" applyBorder="1" applyAlignment="1">
      <alignment/>
    </xf>
    <xf numFmtId="0" fontId="14" fillId="0" borderId="0" xfId="0" applyFont="1" applyFill="1" applyBorder="1" applyAlignment="1">
      <alignment/>
    </xf>
    <xf numFmtId="0" fontId="9" fillId="0" borderId="0" xfId="0" applyFont="1" applyBorder="1" applyAlignment="1">
      <alignment horizontal="right"/>
    </xf>
    <xf numFmtId="1" fontId="21" fillId="2" borderId="0" xfId="0" applyNumberFormat="1" applyFont="1" applyFill="1" applyBorder="1" applyAlignment="1">
      <alignment/>
    </xf>
    <xf numFmtId="0" fontId="21" fillId="2" borderId="0" xfId="0" applyFont="1" applyFill="1" applyBorder="1" applyAlignment="1">
      <alignment/>
    </xf>
    <xf numFmtId="1" fontId="29" fillId="2" borderId="0" xfId="0" applyNumberFormat="1" applyFont="1" applyFill="1" applyBorder="1" applyAlignment="1">
      <alignment/>
    </xf>
    <xf numFmtId="0" fontId="20" fillId="0" borderId="11" xfId="0" applyFont="1" applyBorder="1" applyAlignment="1">
      <alignment/>
    </xf>
    <xf numFmtId="0" fontId="50"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6" fillId="0" borderId="14" xfId="0" applyFont="1" applyBorder="1" applyAlignment="1">
      <alignment horizontal="right"/>
    </xf>
    <xf numFmtId="0" fontId="4" fillId="0" borderId="14" xfId="0" applyFont="1" applyBorder="1" applyAlignment="1">
      <alignment horizontal="right"/>
    </xf>
    <xf numFmtId="0" fontId="0" fillId="0" borderId="14" xfId="0" applyBorder="1" applyAlignment="1">
      <alignment/>
    </xf>
    <xf numFmtId="0" fontId="4" fillId="0" borderId="15" xfId="0" applyFont="1" applyBorder="1" applyAlignment="1">
      <alignment/>
    </xf>
    <xf numFmtId="0" fontId="24" fillId="0" borderId="16" xfId="0" applyFont="1" applyBorder="1" applyAlignment="1">
      <alignment/>
    </xf>
    <xf numFmtId="0" fontId="4" fillId="0" borderId="17" xfId="0" applyFont="1" applyBorder="1" applyAlignment="1">
      <alignment/>
    </xf>
    <xf numFmtId="0" fontId="6" fillId="0" borderId="17" xfId="0" applyFont="1" applyBorder="1" applyAlignment="1">
      <alignment/>
    </xf>
    <xf numFmtId="181" fontId="4" fillId="0" borderId="17" xfId="0" applyNumberFormat="1" applyFont="1" applyBorder="1" applyAlignment="1">
      <alignment/>
    </xf>
    <xf numFmtId="0" fontId="15" fillId="0" borderId="17" xfId="0" applyFont="1" applyBorder="1" applyAlignment="1">
      <alignment horizontal="right"/>
    </xf>
    <xf numFmtId="0" fontId="14" fillId="0" borderId="17" xfId="0" applyFont="1" applyBorder="1" applyAlignment="1">
      <alignment/>
    </xf>
    <xf numFmtId="0" fontId="17" fillId="0" borderId="17" xfId="0" applyFont="1" applyBorder="1" applyAlignment="1">
      <alignment/>
    </xf>
    <xf numFmtId="0" fontId="4" fillId="0" borderId="18" xfId="0" applyFont="1" applyBorder="1" applyAlignment="1">
      <alignment/>
    </xf>
    <xf numFmtId="0" fontId="1" fillId="0" borderId="19" xfId="0" applyFont="1" applyBorder="1" applyAlignment="1">
      <alignment/>
    </xf>
    <xf numFmtId="0" fontId="5" fillId="0" borderId="0" xfId="0" applyFont="1" applyBorder="1" applyAlignment="1">
      <alignment horizontal="right"/>
    </xf>
    <xf numFmtId="0" fontId="40" fillId="2" borderId="20" xfId="0" applyFont="1" applyFill="1" applyBorder="1" applyAlignment="1">
      <alignment/>
    </xf>
    <xf numFmtId="0" fontId="0" fillId="0" borderId="19" xfId="0" applyBorder="1" applyAlignment="1">
      <alignment/>
    </xf>
    <xf numFmtId="0" fontId="4" fillId="0" borderId="20" xfId="0" applyFont="1" applyBorder="1" applyAlignment="1">
      <alignment/>
    </xf>
    <xf numFmtId="0" fontId="14" fillId="0" borderId="0" xfId="0" applyFont="1" applyFill="1" applyBorder="1" applyAlignment="1">
      <alignment/>
    </xf>
    <xf numFmtId="0" fontId="0" fillId="0" borderId="0" xfId="0" applyBorder="1" applyAlignment="1">
      <alignment horizontal="right"/>
    </xf>
    <xf numFmtId="0" fontId="20" fillId="0" borderId="19" xfId="0" applyFont="1" applyBorder="1" applyAlignment="1">
      <alignment/>
    </xf>
    <xf numFmtId="0" fontId="50" fillId="0" borderId="0" xfId="0" applyFont="1" applyBorder="1" applyAlignment="1">
      <alignment/>
    </xf>
    <xf numFmtId="0" fontId="0" fillId="0" borderId="21" xfId="0" applyBorder="1" applyAlignment="1">
      <alignment/>
    </xf>
    <xf numFmtId="0" fontId="4" fillId="0" borderId="22" xfId="0" applyFont="1" applyBorder="1" applyAlignment="1">
      <alignment horizontal="right"/>
    </xf>
    <xf numFmtId="181" fontId="14" fillId="0" borderId="22" xfId="0" applyNumberFormat="1" applyFont="1" applyBorder="1" applyAlignment="1">
      <alignment/>
    </xf>
    <xf numFmtId="0" fontId="0" fillId="0" borderId="22" xfId="0" applyBorder="1" applyAlignment="1">
      <alignment/>
    </xf>
    <xf numFmtId="0" fontId="4" fillId="0" borderId="22" xfId="0" applyFont="1" applyBorder="1" applyAlignment="1">
      <alignment/>
    </xf>
    <xf numFmtId="0" fontId="50" fillId="0" borderId="22" xfId="0" applyFont="1" applyBorder="1" applyAlignment="1">
      <alignment horizontal="right"/>
    </xf>
    <xf numFmtId="0" fontId="14" fillId="0" borderId="22" xfId="0" applyFont="1" applyBorder="1" applyAlignment="1">
      <alignment/>
    </xf>
    <xf numFmtId="0" fontId="17" fillId="0" borderId="22" xfId="0" applyFont="1" applyBorder="1" applyAlignment="1">
      <alignment/>
    </xf>
    <xf numFmtId="0" fontId="4" fillId="0" borderId="23" xfId="0" applyFont="1" applyBorder="1" applyAlignment="1">
      <alignment/>
    </xf>
    <xf numFmtId="0" fontId="17" fillId="0" borderId="17" xfId="0" applyFont="1" applyBorder="1" applyAlignment="1">
      <alignment/>
    </xf>
    <xf numFmtId="0" fontId="5" fillId="5" borderId="17" xfId="0" applyFont="1" applyFill="1" applyBorder="1" applyAlignment="1">
      <alignment/>
    </xf>
    <xf numFmtId="0" fontId="0" fillId="0" borderId="17" xfId="0" applyBorder="1" applyAlignment="1">
      <alignment/>
    </xf>
    <xf numFmtId="0" fontId="0" fillId="0" borderId="18" xfId="0" applyBorder="1" applyAlignment="1">
      <alignment/>
    </xf>
    <xf numFmtId="0" fontId="4" fillId="5" borderId="0" xfId="0" applyFont="1" applyFill="1" applyBorder="1" applyAlignment="1">
      <alignment horizontal="right"/>
    </xf>
    <xf numFmtId="181" fontId="46" fillId="5" borderId="0" xfId="0" applyNumberFormat="1" applyFont="1" applyFill="1" applyBorder="1" applyAlignment="1">
      <alignment/>
    </xf>
    <xf numFmtId="0" fontId="5" fillId="0" borderId="19" xfId="0" applyFont="1" applyBorder="1" applyAlignment="1">
      <alignment/>
    </xf>
    <xf numFmtId="180" fontId="14" fillId="2" borderId="0" xfId="0" applyNumberFormat="1" applyFont="1" applyFill="1" applyBorder="1" applyAlignment="1">
      <alignment/>
    </xf>
    <xf numFmtId="0" fontId="4" fillId="0" borderId="0" xfId="0" applyFont="1" applyBorder="1" applyAlignment="1">
      <alignment horizontal="left"/>
    </xf>
    <xf numFmtId="0" fontId="26" fillId="2" borderId="0" xfId="0" applyFont="1" applyFill="1" applyBorder="1" applyAlignment="1">
      <alignment/>
    </xf>
    <xf numFmtId="0" fontId="40" fillId="5" borderId="0" xfId="0" applyFont="1" applyFill="1" applyBorder="1" applyAlignment="1">
      <alignment/>
    </xf>
    <xf numFmtId="1" fontId="14" fillId="0" borderId="22" xfId="0" applyNumberFormat="1" applyFont="1" applyBorder="1" applyAlignment="1">
      <alignment/>
    </xf>
    <xf numFmtId="0" fontId="0" fillId="0" borderId="20" xfId="0" applyBorder="1" applyAlignment="1">
      <alignment/>
    </xf>
    <xf numFmtId="0" fontId="15" fillId="0" borderId="0" xfId="0" applyFont="1" applyBorder="1" applyAlignment="1">
      <alignment/>
    </xf>
    <xf numFmtId="0" fontId="20" fillId="0" borderId="21" xfId="0" applyFont="1" applyBorder="1" applyAlignment="1">
      <alignment/>
    </xf>
    <xf numFmtId="0" fontId="15" fillId="0" borderId="22" xfId="0" applyFont="1" applyBorder="1" applyAlignment="1">
      <alignment/>
    </xf>
    <xf numFmtId="0" fontId="17" fillId="0" borderId="22" xfId="0" applyFont="1" applyBorder="1" applyAlignment="1">
      <alignment/>
    </xf>
    <xf numFmtId="0" fontId="0" fillId="0" borderId="23" xfId="0" applyBorder="1" applyAlignment="1">
      <alignment/>
    </xf>
    <xf numFmtId="0" fontId="20" fillId="0" borderId="17" xfId="0" applyFont="1" applyFill="1" applyBorder="1" applyAlignment="1">
      <alignment/>
    </xf>
    <xf numFmtId="0" fontId="5" fillId="0" borderId="17" xfId="0" applyFont="1" applyBorder="1" applyAlignment="1">
      <alignment/>
    </xf>
    <xf numFmtId="0" fontId="5" fillId="0" borderId="17" xfId="0" applyFont="1" applyBorder="1" applyAlignment="1">
      <alignment/>
    </xf>
    <xf numFmtId="0" fontId="5" fillId="0" borderId="18" xfId="0" applyFont="1" applyBorder="1" applyAlignment="1">
      <alignment/>
    </xf>
    <xf numFmtId="0" fontId="17" fillId="0" borderId="20" xfId="0" applyFont="1" applyBorder="1" applyAlignment="1">
      <alignment/>
    </xf>
    <xf numFmtId="0" fontId="1" fillId="0" borderId="17" xfId="0" applyFont="1" applyBorder="1" applyAlignment="1">
      <alignment/>
    </xf>
    <xf numFmtId="0" fontId="47" fillId="0" borderId="17" xfId="0" applyFont="1" applyFill="1" applyBorder="1" applyAlignment="1">
      <alignment/>
    </xf>
    <xf numFmtId="0" fontId="50" fillId="5" borderId="0" xfId="0" applyFont="1" applyFill="1" applyBorder="1" applyAlignment="1">
      <alignment horizontal="right"/>
    </xf>
    <xf numFmtId="0" fontId="0" fillId="6" borderId="19" xfId="0" applyFill="1" applyBorder="1" applyAlignment="1">
      <alignment/>
    </xf>
    <xf numFmtId="0" fontId="4" fillId="6" borderId="0" xfId="0" applyFont="1" applyFill="1" applyBorder="1" applyAlignment="1">
      <alignment horizontal="right"/>
    </xf>
    <xf numFmtId="181" fontId="14" fillId="6" borderId="0" xfId="0" applyNumberFormat="1" applyFont="1" applyFill="1" applyBorder="1" applyAlignment="1">
      <alignment/>
    </xf>
    <xf numFmtId="0" fontId="4" fillId="3" borderId="0" xfId="0" applyFont="1" applyFill="1" applyBorder="1" applyAlignment="1">
      <alignment horizontal="right"/>
    </xf>
    <xf numFmtId="181" fontId="14" fillId="3" borderId="0" xfId="0" applyNumberFormat="1" applyFont="1" applyFill="1" applyBorder="1" applyAlignment="1">
      <alignment/>
    </xf>
    <xf numFmtId="0" fontId="50" fillId="6" borderId="0" xfId="0" applyFont="1" applyFill="1" applyBorder="1" applyAlignment="1">
      <alignment horizontal="right"/>
    </xf>
    <xf numFmtId="0" fontId="4" fillId="0" borderId="20" xfId="0" applyFont="1" applyBorder="1" applyAlignment="1">
      <alignment vertical="top" wrapText="1"/>
    </xf>
    <xf numFmtId="0" fontId="4" fillId="6" borderId="0" xfId="0" applyFont="1" applyFill="1" applyBorder="1" applyAlignment="1">
      <alignment/>
    </xf>
    <xf numFmtId="181" fontId="4" fillId="6" borderId="0" xfId="0" applyNumberFormat="1" applyFont="1" applyFill="1" applyBorder="1" applyAlignment="1">
      <alignment/>
    </xf>
    <xf numFmtId="0" fontId="14" fillId="6" borderId="0" xfId="0" applyFont="1" applyFill="1" applyBorder="1" applyAlignment="1">
      <alignment/>
    </xf>
    <xf numFmtId="0" fontId="4" fillId="0" borderId="19" xfId="0" applyFont="1" applyBorder="1" applyAlignment="1">
      <alignment/>
    </xf>
    <xf numFmtId="0" fontId="22" fillId="3" borderId="0" xfId="0" applyFont="1" applyFill="1" applyBorder="1" applyAlignment="1">
      <alignment horizontal="right"/>
    </xf>
    <xf numFmtId="0" fontId="50" fillId="3" borderId="0" xfId="0" applyFont="1" applyFill="1" applyBorder="1" applyAlignment="1">
      <alignment horizontal="right"/>
    </xf>
    <xf numFmtId="181" fontId="23" fillId="3" borderId="0" xfId="0" applyNumberFormat="1" applyFont="1" applyFill="1" applyBorder="1" applyAlignment="1">
      <alignment/>
    </xf>
    <xf numFmtId="0" fontId="4" fillId="0" borderId="21" xfId="0" applyFont="1" applyBorder="1" applyAlignment="1">
      <alignment/>
    </xf>
    <xf numFmtId="0" fontId="1" fillId="3" borderId="22" xfId="0" applyFont="1" applyFill="1" applyBorder="1" applyAlignment="1">
      <alignment horizontal="right"/>
    </xf>
    <xf numFmtId="0" fontId="50" fillId="3" borderId="22" xfId="0" applyFont="1" applyFill="1" applyBorder="1" applyAlignment="1">
      <alignment horizontal="right"/>
    </xf>
    <xf numFmtId="181" fontId="14" fillId="3" borderId="22" xfId="0" applyNumberFormat="1" applyFont="1" applyFill="1" applyBorder="1" applyAlignment="1">
      <alignment/>
    </xf>
    <xf numFmtId="0" fontId="35" fillId="0" borderId="17" xfId="0" applyFont="1" applyBorder="1" applyAlignment="1">
      <alignment/>
    </xf>
    <xf numFmtId="0" fontId="48" fillId="0" borderId="17" xfId="0" applyFont="1" applyBorder="1" applyAlignment="1">
      <alignment/>
    </xf>
    <xf numFmtId="181" fontId="35" fillId="0" borderId="17" xfId="0" applyNumberFormat="1" applyFont="1" applyBorder="1" applyAlignment="1">
      <alignment/>
    </xf>
    <xf numFmtId="0" fontId="57" fillId="0" borderId="17" xfId="0" applyFont="1" applyBorder="1" applyAlignment="1">
      <alignment/>
    </xf>
    <xf numFmtId="0" fontId="50" fillId="0" borderId="0" xfId="0" applyFont="1" applyBorder="1" applyAlignment="1">
      <alignment/>
    </xf>
    <xf numFmtId="0" fontId="20" fillId="3" borderId="19" xfId="0" applyFont="1" applyFill="1" applyBorder="1" applyAlignment="1">
      <alignment/>
    </xf>
    <xf numFmtId="0" fontId="29" fillId="0" borderId="0" xfId="0" applyFont="1" applyFill="1" applyBorder="1" applyAlignment="1">
      <alignment/>
    </xf>
    <xf numFmtId="0" fontId="4" fillId="3" borderId="0" xfId="0" applyFont="1" applyFill="1" applyBorder="1" applyAlignment="1">
      <alignment/>
    </xf>
    <xf numFmtId="0" fontId="4" fillId="3" borderId="22" xfId="0" applyFont="1" applyFill="1" applyBorder="1" applyAlignment="1">
      <alignment/>
    </xf>
    <xf numFmtId="0" fontId="50" fillId="0" borderId="17" xfId="0" applyFont="1" applyBorder="1" applyAlignment="1">
      <alignment/>
    </xf>
    <xf numFmtId="0" fontId="0" fillId="3" borderId="0" xfId="0" applyFill="1" applyBorder="1" applyAlignment="1">
      <alignment/>
    </xf>
    <xf numFmtId="181" fontId="14" fillId="6" borderId="22" xfId="0" applyNumberFormat="1" applyFont="1" applyFill="1" applyBorder="1" applyAlignment="1">
      <alignment/>
    </xf>
    <xf numFmtId="0" fontId="1" fillId="7" borderId="6" xfId="0" applyFont="1" applyFill="1" applyBorder="1" applyAlignment="1">
      <alignment/>
    </xf>
    <xf numFmtId="0" fontId="1" fillId="7" borderId="7" xfId="0" applyFont="1" applyFill="1" applyBorder="1" applyAlignment="1">
      <alignment horizontal="right" vertical="top"/>
    </xf>
    <xf numFmtId="0" fontId="1" fillId="5" borderId="0" xfId="0" applyFont="1" applyFill="1" applyBorder="1" applyAlignment="1">
      <alignment vertical="top"/>
    </xf>
    <xf numFmtId="0" fontId="4" fillId="5" borderId="0" xfId="0" applyFont="1" applyFill="1" applyBorder="1" applyAlignment="1">
      <alignment vertical="top"/>
    </xf>
    <xf numFmtId="0" fontId="0" fillId="5" borderId="0" xfId="0" applyFill="1" applyBorder="1" applyAlignment="1">
      <alignment vertical="top"/>
    </xf>
    <xf numFmtId="0" fontId="0" fillId="5" borderId="3" xfId="0"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left"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xf>
    <xf numFmtId="0" fontId="0" fillId="5" borderId="0" xfId="0" applyFill="1" applyAlignment="1">
      <alignment/>
    </xf>
    <xf numFmtId="0" fontId="4" fillId="5" borderId="3"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xf>
    <xf numFmtId="0" fontId="4" fillId="5" borderId="29" xfId="0" applyFont="1" applyFill="1" applyBorder="1" applyAlignment="1">
      <alignment horizontal="center" vertical="center"/>
    </xf>
    <xf numFmtId="0" fontId="4" fillId="5" borderId="0" xfId="0" applyFont="1" applyFill="1" applyBorder="1" applyAlignment="1">
      <alignment horizontal="center" vertical="center"/>
    </xf>
    <xf numFmtId="181" fontId="14" fillId="8" borderId="0" xfId="0" applyNumberFormat="1" applyFont="1" applyFill="1" applyBorder="1" applyAlignment="1">
      <alignment/>
    </xf>
    <xf numFmtId="181" fontId="14" fillId="9" borderId="22" xfId="0" applyNumberFormat="1" applyFont="1" applyFill="1" applyBorder="1" applyAlignment="1">
      <alignment/>
    </xf>
    <xf numFmtId="181" fontId="14" fillId="10" borderId="22" xfId="0" applyNumberFormat="1" applyFont="1" applyFill="1" applyBorder="1" applyAlignment="1">
      <alignment/>
    </xf>
    <xf numFmtId="181" fontId="14" fillId="9" borderId="0" xfId="0" applyNumberFormat="1" applyFont="1" applyFill="1" applyBorder="1" applyAlignment="1">
      <alignment/>
    </xf>
    <xf numFmtId="0" fontId="40" fillId="8" borderId="0" xfId="0" applyFont="1" applyFill="1" applyBorder="1" applyAlignment="1">
      <alignment/>
    </xf>
    <xf numFmtId="181" fontId="14" fillId="1" borderId="0" xfId="0" applyNumberFormat="1" applyFont="1" applyFill="1" applyBorder="1" applyAlignment="1">
      <alignment/>
    </xf>
    <xf numFmtId="181" fontId="14" fillId="9" borderId="14" xfId="0" applyNumberFormat="1" applyFont="1" applyFill="1" applyBorder="1" applyAlignment="1">
      <alignment/>
    </xf>
    <xf numFmtId="0" fontId="40" fillId="2" borderId="0" xfId="0" applyFont="1" applyFill="1" applyAlignment="1">
      <alignment horizontal="right"/>
    </xf>
    <xf numFmtId="0" fontId="52" fillId="0" borderId="0" xfId="0" applyFont="1" applyBorder="1" applyAlignment="1">
      <alignment horizontal="right"/>
    </xf>
    <xf numFmtId="2" fontId="23" fillId="2" borderId="0" xfId="0" applyNumberFormat="1" applyFont="1" applyFill="1" applyBorder="1" applyAlignment="1">
      <alignment/>
    </xf>
    <xf numFmtId="2" fontId="14" fillId="0" borderId="0" xfId="0" applyNumberFormat="1" applyFont="1" applyBorder="1" applyAlignment="1">
      <alignment/>
    </xf>
    <xf numFmtId="0" fontId="5" fillId="0" borderId="0" xfId="0" applyNumberFormat="1" applyFont="1" applyBorder="1" applyAlignment="1">
      <alignment horizontal="left" vertical="center"/>
    </xf>
    <xf numFmtId="181" fontId="14" fillId="10" borderId="0" xfId="0" applyNumberFormat="1" applyFont="1" applyFill="1" applyBorder="1" applyAlignment="1">
      <alignment/>
    </xf>
    <xf numFmtId="0" fontId="20" fillId="0" borderId="0" xfId="0" applyFont="1" applyBorder="1" applyAlignment="1">
      <alignment/>
    </xf>
    <xf numFmtId="0" fontId="40" fillId="2" borderId="17" xfId="0" applyFont="1" applyFill="1" applyBorder="1" applyAlignment="1">
      <alignment/>
    </xf>
    <xf numFmtId="2" fontId="4" fillId="0" borderId="20" xfId="0" applyNumberFormat="1" applyFont="1" applyBorder="1" applyAlignment="1">
      <alignment/>
    </xf>
    <xf numFmtId="1" fontId="4" fillId="0" borderId="20" xfId="0" applyNumberFormat="1" applyFont="1" applyBorder="1" applyAlignment="1">
      <alignment/>
    </xf>
    <xf numFmtId="0" fontId="17" fillId="0" borderId="23" xfId="0" applyFont="1" applyBorder="1" applyAlignment="1">
      <alignment/>
    </xf>
    <xf numFmtId="0" fontId="14" fillId="0" borderId="20" xfId="0" applyFont="1" applyBorder="1" applyAlignment="1">
      <alignment/>
    </xf>
    <xf numFmtId="2" fontId="14" fillId="0" borderId="20" xfId="0" applyNumberFormat="1" applyFont="1" applyBorder="1" applyAlignment="1">
      <alignment/>
    </xf>
    <xf numFmtId="1" fontId="14" fillId="0" borderId="20" xfId="0" applyNumberFormat="1" applyFont="1" applyBorder="1" applyAlignment="1">
      <alignment/>
    </xf>
    <xf numFmtId="2" fontId="14" fillId="0" borderId="22" xfId="0" applyNumberFormat="1" applyFont="1" applyBorder="1" applyAlignment="1">
      <alignment/>
    </xf>
    <xf numFmtId="0" fontId="26" fillId="0" borderId="23" xfId="0" applyFont="1" applyBorder="1" applyAlignment="1">
      <alignment/>
    </xf>
    <xf numFmtId="0" fontId="6" fillId="0" borderId="22" xfId="0" applyFont="1" applyBorder="1" applyAlignment="1">
      <alignment horizontal="right"/>
    </xf>
    <xf numFmtId="2" fontId="14" fillId="0" borderId="23" xfId="0" applyNumberFormat="1" applyFont="1" applyBorder="1" applyAlignment="1">
      <alignment/>
    </xf>
    <xf numFmtId="0" fontId="40" fillId="2" borderId="18" xfId="0" applyFont="1" applyFill="1" applyBorder="1" applyAlignment="1">
      <alignment/>
    </xf>
    <xf numFmtId="2" fontId="23" fillId="2" borderId="20" xfId="0" applyNumberFormat="1" applyFont="1" applyFill="1" applyBorder="1" applyAlignment="1">
      <alignment/>
    </xf>
    <xf numFmtId="0" fontId="24" fillId="7" borderId="0" xfId="0" applyFont="1" applyFill="1" applyAlignment="1">
      <alignment/>
    </xf>
    <xf numFmtId="0" fontId="17" fillId="7" borderId="0" xfId="0" applyFont="1" applyFill="1" applyAlignment="1">
      <alignment/>
    </xf>
    <xf numFmtId="0" fontId="18" fillId="7" borderId="0" xfId="0" applyFont="1" applyFill="1" applyAlignment="1">
      <alignment/>
    </xf>
    <xf numFmtId="0" fontId="4" fillId="7" borderId="0" xfId="0" applyFont="1" applyFill="1" applyAlignment="1">
      <alignment/>
    </xf>
    <xf numFmtId="0" fontId="0" fillId="7" borderId="0" xfId="0" applyFill="1" applyAlignment="1">
      <alignment/>
    </xf>
    <xf numFmtId="0" fontId="27" fillId="7" borderId="0" xfId="0" applyFont="1" applyFill="1" applyAlignment="1">
      <alignment/>
    </xf>
    <xf numFmtId="0" fontId="14" fillId="7" borderId="0" xfId="0" applyFont="1" applyFill="1" applyAlignment="1">
      <alignment/>
    </xf>
    <xf numFmtId="0" fontId="12" fillId="7" borderId="0" xfId="0" applyFont="1" applyFill="1" applyAlignment="1">
      <alignment/>
    </xf>
    <xf numFmtId="0" fontId="6" fillId="7" borderId="0" xfId="0" applyFont="1" applyFill="1" applyAlignment="1">
      <alignment horizontal="left"/>
    </xf>
    <xf numFmtId="0" fontId="4" fillId="7" borderId="0" xfId="0" applyFont="1" applyFill="1" applyAlignment="1">
      <alignment horizontal="left"/>
    </xf>
    <xf numFmtId="0" fontId="6" fillId="7" borderId="0" xfId="0" applyFont="1" applyFill="1" applyAlignment="1">
      <alignment horizontal="right"/>
    </xf>
    <xf numFmtId="0" fontId="4" fillId="7" borderId="0" xfId="0" applyFont="1" applyFill="1" applyBorder="1" applyAlignment="1">
      <alignment/>
    </xf>
    <xf numFmtId="0" fontId="4" fillId="7" borderId="3" xfId="0" applyFont="1" applyFill="1" applyBorder="1" applyAlignment="1">
      <alignment/>
    </xf>
    <xf numFmtId="0" fontId="4" fillId="7" borderId="26" xfId="0" applyFont="1" applyFill="1" applyBorder="1" applyAlignment="1">
      <alignment horizontal="right"/>
    </xf>
    <xf numFmtId="0" fontId="52" fillId="7" borderId="26" xfId="0" applyFont="1" applyFill="1" applyBorder="1" applyAlignment="1">
      <alignment horizontal="right"/>
    </xf>
    <xf numFmtId="0" fontId="14" fillId="7" borderId="26" xfId="0" applyFont="1" applyFill="1" applyBorder="1" applyAlignment="1">
      <alignment/>
    </xf>
    <xf numFmtId="0" fontId="6" fillId="7" borderId="24" xfId="0" applyFont="1" applyFill="1" applyBorder="1" applyAlignment="1">
      <alignment horizontal="left"/>
    </xf>
    <xf numFmtId="0" fontId="4" fillId="7" borderId="4" xfId="0" applyFont="1" applyFill="1" applyBorder="1" applyAlignment="1">
      <alignment/>
    </xf>
    <xf numFmtId="0" fontId="4" fillId="7" borderId="0" xfId="0" applyFont="1" applyFill="1" applyBorder="1" applyAlignment="1">
      <alignment horizontal="right"/>
    </xf>
    <xf numFmtId="0" fontId="52" fillId="7" borderId="0" xfId="0" applyFont="1" applyFill="1" applyBorder="1" applyAlignment="1">
      <alignment horizontal="right"/>
    </xf>
    <xf numFmtId="190" fontId="14" fillId="7" borderId="0" xfId="15" applyNumberFormat="1" applyFont="1" applyFill="1" applyBorder="1" applyAlignment="1">
      <alignment/>
    </xf>
    <xf numFmtId="180" fontId="14" fillId="7" borderId="0" xfId="0" applyNumberFormat="1" applyFont="1" applyFill="1" applyBorder="1" applyAlignment="1">
      <alignment/>
    </xf>
    <xf numFmtId="0" fontId="4" fillId="7" borderId="5" xfId="0" applyFont="1" applyFill="1" applyBorder="1" applyAlignment="1">
      <alignment horizontal="left"/>
    </xf>
    <xf numFmtId="0" fontId="4" fillId="7" borderId="6" xfId="0" applyFont="1" applyFill="1" applyBorder="1" applyAlignment="1">
      <alignment/>
    </xf>
    <xf numFmtId="0" fontId="4" fillId="7" borderId="2" xfId="0" applyFont="1" applyFill="1" applyBorder="1" applyAlignment="1">
      <alignment horizontal="right"/>
    </xf>
    <xf numFmtId="0" fontId="50" fillId="7" borderId="2" xfId="0" applyFont="1" applyFill="1" applyBorder="1" applyAlignment="1">
      <alignment horizontal="right"/>
    </xf>
    <xf numFmtId="180" fontId="14" fillId="7" borderId="2" xfId="0" applyNumberFormat="1" applyFont="1" applyFill="1" applyBorder="1" applyAlignment="1">
      <alignment/>
    </xf>
    <xf numFmtId="0" fontId="0" fillId="7" borderId="2" xfId="0" applyFill="1" applyBorder="1" applyAlignment="1">
      <alignment/>
    </xf>
    <xf numFmtId="0" fontId="6" fillId="7" borderId="2" xfId="0" applyFont="1" applyFill="1" applyBorder="1" applyAlignment="1">
      <alignment/>
    </xf>
    <xf numFmtId="0" fontId="13" fillId="7" borderId="2" xfId="0" applyFont="1" applyFill="1" applyBorder="1" applyAlignment="1">
      <alignment/>
    </xf>
    <xf numFmtId="0" fontId="6" fillId="7" borderId="7" xfId="0" applyFont="1" applyFill="1" applyBorder="1" applyAlignment="1">
      <alignment horizontal="left"/>
    </xf>
    <xf numFmtId="0" fontId="21" fillId="11" borderId="29" xfId="0" applyFont="1" applyFill="1" applyBorder="1" applyAlignment="1">
      <alignment/>
    </xf>
    <xf numFmtId="0" fontId="40" fillId="11" borderId="29" xfId="0" applyFont="1" applyFill="1" applyBorder="1" applyAlignment="1">
      <alignment/>
    </xf>
    <xf numFmtId="185" fontId="23" fillId="11" borderId="29" xfId="0" applyNumberFormat="1" applyFont="1" applyFill="1" applyBorder="1" applyAlignment="1">
      <alignment/>
    </xf>
    <xf numFmtId="0" fontId="4" fillId="4" borderId="30" xfId="0" applyFont="1" applyFill="1" applyBorder="1" applyAlignment="1">
      <alignment/>
    </xf>
    <xf numFmtId="0" fontId="4" fillId="7" borderId="28" xfId="0" applyFont="1" applyFill="1" applyBorder="1" applyAlignment="1">
      <alignment horizontal="right"/>
    </xf>
    <xf numFmtId="0" fontId="40" fillId="11" borderId="26" xfId="0" applyFont="1" applyFill="1" applyBorder="1" applyAlignment="1">
      <alignment horizontal="right"/>
    </xf>
    <xf numFmtId="0" fontId="21" fillId="11" borderId="26" xfId="0" applyFont="1" applyFill="1" applyBorder="1" applyAlignment="1">
      <alignment/>
    </xf>
    <xf numFmtId="0" fontId="21" fillId="11" borderId="0" xfId="0" applyFont="1" applyFill="1" applyBorder="1" applyAlignment="1">
      <alignment/>
    </xf>
    <xf numFmtId="0" fontId="4" fillId="7" borderId="5" xfId="0" applyFont="1" applyFill="1" applyBorder="1" applyAlignment="1">
      <alignment/>
    </xf>
    <xf numFmtId="0" fontId="4" fillId="7" borderId="7" xfId="0" applyFont="1" applyFill="1" applyBorder="1" applyAlignment="1">
      <alignment/>
    </xf>
    <xf numFmtId="0" fontId="50" fillId="7" borderId="29" xfId="0" applyFont="1" applyFill="1" applyBorder="1" applyAlignment="1">
      <alignment horizontal="right"/>
    </xf>
    <xf numFmtId="0" fontId="14" fillId="7" borderId="30" xfId="0" applyFont="1" applyFill="1" applyBorder="1" applyAlignment="1">
      <alignment/>
    </xf>
    <xf numFmtId="0" fontId="4" fillId="12" borderId="0" xfId="0" applyFont="1" applyFill="1" applyAlignment="1">
      <alignment/>
    </xf>
    <xf numFmtId="0" fontId="0" fillId="12" borderId="0" xfId="0" applyFill="1" applyAlignment="1">
      <alignment/>
    </xf>
    <xf numFmtId="0" fontId="4" fillId="12" borderId="27" xfId="0" applyFont="1" applyFill="1" applyBorder="1" applyAlignment="1">
      <alignment horizontal="center" vertical="center"/>
    </xf>
    <xf numFmtId="0" fontId="25" fillId="7" borderId="0" xfId="0" applyFont="1" applyFill="1" applyAlignment="1">
      <alignment vertical="top"/>
    </xf>
    <xf numFmtId="0" fontId="4" fillId="7" borderId="0" xfId="0" applyFont="1" applyFill="1" applyAlignment="1">
      <alignment vertical="top"/>
    </xf>
    <xf numFmtId="0" fontId="18" fillId="7" borderId="0" xfId="0" applyFont="1" applyFill="1" applyAlignment="1">
      <alignment vertical="top"/>
    </xf>
    <xf numFmtId="0" fontId="0" fillId="7" borderId="0" xfId="0" applyFill="1" applyAlignment="1">
      <alignment vertical="top"/>
    </xf>
    <xf numFmtId="0" fontId="28" fillId="7" borderId="4" xfId="0" applyFont="1" applyFill="1" applyBorder="1" applyAlignment="1">
      <alignment/>
    </xf>
    <xf numFmtId="0" fontId="28" fillId="7" borderId="5" xfId="0" applyFont="1" applyFill="1" applyBorder="1" applyAlignment="1">
      <alignment/>
    </xf>
    <xf numFmtId="0" fontId="1" fillId="12" borderId="28" xfId="0" applyFont="1" applyFill="1" applyBorder="1" applyAlignment="1">
      <alignment/>
    </xf>
    <xf numFmtId="0" fontId="1" fillId="12" borderId="30" xfId="0" applyFont="1" applyFill="1" applyBorder="1" applyAlignment="1">
      <alignment horizontal="right" vertical="top"/>
    </xf>
    <xf numFmtId="0" fontId="1" fillId="12" borderId="26" xfId="0" applyFont="1" applyFill="1" applyBorder="1" applyAlignment="1">
      <alignment vertical="top"/>
    </xf>
    <xf numFmtId="0" fontId="4" fillId="12" borderId="26" xfId="0" applyFont="1" applyFill="1" applyBorder="1" applyAlignment="1">
      <alignment vertical="top"/>
    </xf>
    <xf numFmtId="0" fontId="0" fillId="12" borderId="26" xfId="0" applyFill="1" applyBorder="1" applyAlignment="1">
      <alignment vertical="top"/>
    </xf>
    <xf numFmtId="0" fontId="0" fillId="12" borderId="28" xfId="0" applyFill="1" applyBorder="1" applyAlignment="1">
      <alignment horizontal="center" vertical="center"/>
    </xf>
    <xf numFmtId="0" fontId="4" fillId="12" borderId="30" xfId="0" applyFont="1" applyFill="1" applyBorder="1" applyAlignment="1">
      <alignment horizontal="center" vertical="center"/>
    </xf>
    <xf numFmtId="0" fontId="4" fillId="12" borderId="27" xfId="0" applyFont="1" applyFill="1" applyBorder="1" applyAlignment="1">
      <alignment horizontal="left" vertical="center"/>
    </xf>
    <xf numFmtId="0" fontId="4" fillId="12" borderId="29" xfId="0" applyFont="1" applyFill="1" applyBorder="1" applyAlignment="1">
      <alignment horizontal="left" vertical="center"/>
    </xf>
    <xf numFmtId="0" fontId="4" fillId="12" borderId="27" xfId="0" applyFont="1" applyFill="1" applyBorder="1" applyAlignment="1">
      <alignment horizontal="center"/>
    </xf>
    <xf numFmtId="0" fontId="4" fillId="12" borderId="28" xfId="0" applyFont="1" applyFill="1" applyBorder="1" applyAlignment="1">
      <alignment horizontal="center" vertical="center"/>
    </xf>
    <xf numFmtId="185" fontId="26" fillId="13" borderId="29" xfId="0" applyNumberFormat="1" applyFont="1" applyFill="1" applyBorder="1" applyAlignment="1">
      <alignment/>
    </xf>
    <xf numFmtId="0" fontId="74" fillId="11" borderId="4" xfId="0" applyFont="1" applyFill="1" applyBorder="1" applyAlignment="1">
      <alignment/>
    </xf>
    <xf numFmtId="0" fontId="21" fillId="11" borderId="6" xfId="0" applyFont="1" applyFill="1" applyBorder="1" applyAlignment="1">
      <alignment/>
    </xf>
    <xf numFmtId="0" fontId="40" fillId="11" borderId="0" xfId="0" applyFont="1" applyFill="1" applyAlignment="1">
      <alignment/>
    </xf>
    <xf numFmtId="0" fontId="0" fillId="12" borderId="27" xfId="0" applyFill="1" applyBorder="1" applyAlignment="1">
      <alignment/>
    </xf>
    <xf numFmtId="0" fontId="4" fillId="12" borderId="27" xfId="0" applyFont="1" applyFill="1" applyBorder="1" applyAlignment="1">
      <alignment/>
    </xf>
    <xf numFmtId="0" fontId="4" fillId="12" borderId="27" xfId="0" applyFont="1" applyFill="1" applyBorder="1" applyAlignment="1">
      <alignment horizontal="left"/>
    </xf>
    <xf numFmtId="0" fontId="4" fillId="12" borderId="27" xfId="0" applyFont="1" applyFill="1" applyBorder="1" applyAlignment="1">
      <alignment vertical="top"/>
    </xf>
    <xf numFmtId="0" fontId="0" fillId="12" borderId="30" xfId="0" applyFill="1" applyBorder="1" applyAlignment="1">
      <alignment horizontal="left" vertical="top"/>
    </xf>
    <xf numFmtId="0" fontId="4" fillId="12" borderId="30" xfId="0" applyFont="1" applyFill="1" applyBorder="1" applyAlignment="1">
      <alignment horizontal="left"/>
    </xf>
    <xf numFmtId="0" fontId="4" fillId="0" borderId="26" xfId="0" applyFont="1" applyBorder="1" applyAlignment="1">
      <alignment horizontal="center"/>
    </xf>
    <xf numFmtId="0" fontId="4" fillId="0" borderId="2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Gain versus time</a:t>
            </a:r>
          </a:p>
        </c:rich>
      </c:tx>
      <c:layout>
        <c:manualLayout>
          <c:xMode val="factor"/>
          <c:yMode val="factor"/>
          <c:x val="-0.066"/>
          <c:y val="0.09325"/>
        </c:manualLayout>
      </c:layout>
      <c:spPr>
        <a:ln w="3175">
          <a:noFill/>
        </a:ln>
      </c:spPr>
    </c:title>
    <c:plotArea>
      <c:layout>
        <c:manualLayout>
          <c:xMode val="edge"/>
          <c:yMode val="edge"/>
          <c:x val="0.0525"/>
          <c:y val="0.0225"/>
          <c:w val="0.93575"/>
          <c:h val="0.9415"/>
        </c:manualLayout>
      </c:layout>
      <c:lineChart>
        <c:grouping val="standard"/>
        <c:varyColors val="0"/>
        <c:ser>
          <c:idx val="1"/>
          <c:order val="0"/>
          <c:tx>
            <c:v>Selection of progeny tested parents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'Older Main'!$S$13:$S$18</c:f>
              <c:numCache>
                <c:ptCount val="6"/>
                <c:pt idx="0">
                  <c:v>0</c:v>
                </c:pt>
                <c:pt idx="1">
                  <c:v>0</c:v>
                </c:pt>
                <c:pt idx="2">
                  <c:v>0</c:v>
                </c:pt>
                <c:pt idx="3">
                  <c:v>0</c:v>
                </c:pt>
                <c:pt idx="4">
                  <c:v>0</c:v>
                </c:pt>
                <c:pt idx="5">
                  <c:v>0</c:v>
                </c:pt>
              </c:numCache>
            </c:numRef>
          </c:val>
          <c:smooth val="0"/>
        </c:ser>
        <c:ser>
          <c:idx val="2"/>
          <c:order val="1"/>
          <c:tx>
            <c:v>selection of best parent pair</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'Older Main'!$S$22:$S$27</c:f>
              <c:numCache>
                <c:ptCount val="6"/>
                <c:pt idx="0">
                  <c:v>0</c:v>
                </c:pt>
                <c:pt idx="1">
                  <c:v>0</c:v>
                </c:pt>
                <c:pt idx="2">
                  <c:v>0</c:v>
                </c:pt>
                <c:pt idx="3">
                  <c:v>0</c:v>
                </c:pt>
                <c:pt idx="4">
                  <c:v>0</c:v>
                </c:pt>
                <c:pt idx="5">
                  <c:v>0</c:v>
                </c:pt>
              </c:numCache>
            </c:numRef>
          </c:val>
          <c:smooth val="0"/>
        </c:ser>
        <c:ser>
          <c:idx val="3"/>
          <c:order val="2"/>
          <c:tx>
            <c:v>Selection from full sibs (Alt 4)</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'Older Main'!$S$42:$S$48</c:f>
              <c:numCache>
                <c:ptCount val="7"/>
                <c:pt idx="0">
                  <c:v>0</c:v>
                </c:pt>
                <c:pt idx="1">
                  <c:v>0</c:v>
                </c:pt>
                <c:pt idx="2">
                  <c:v>0</c:v>
                </c:pt>
                <c:pt idx="3">
                  <c:v>0</c:v>
                </c:pt>
                <c:pt idx="4">
                  <c:v>0</c:v>
                </c:pt>
                <c:pt idx="5">
                  <c:v>0</c:v>
                </c:pt>
                <c:pt idx="6">
                  <c:v>0</c:v>
                </c:pt>
              </c:numCache>
            </c:numRef>
          </c:val>
          <c:smooth val="0"/>
        </c:ser>
        <c:ser>
          <c:idx val="4"/>
          <c:order val="3"/>
          <c:tx>
            <c:v>selection from tested clones</c:v>
          </c:tx>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'Older Main'!$S$55:$S$60</c:f>
              <c:numCache>
                <c:ptCount val="6"/>
                <c:pt idx="0">
                  <c:v>0</c:v>
                </c:pt>
                <c:pt idx="1">
                  <c:v>0</c:v>
                </c:pt>
                <c:pt idx="2">
                  <c:v>0</c:v>
                </c:pt>
                <c:pt idx="3">
                  <c:v>0</c:v>
                </c:pt>
                <c:pt idx="4">
                  <c:v>0</c:v>
                </c:pt>
                <c:pt idx="5">
                  <c:v>0</c:v>
                </c:pt>
              </c:numCache>
            </c:numRef>
          </c:val>
          <c:smooth val="0"/>
        </c:ser>
        <c:ser>
          <c:idx val="0"/>
          <c:order val="4"/>
          <c:tx>
            <c:v>Selection from half sibs (Alt 3)</c:v>
          </c:tx>
          <c:spPr>
            <a:ln w="381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'Older Main'!$T$31:$T$37</c:f>
              <c:numCache>
                <c:ptCount val="7"/>
                <c:pt idx="0">
                  <c:v>0</c:v>
                </c:pt>
                <c:pt idx="1">
                  <c:v>0</c:v>
                </c:pt>
                <c:pt idx="2">
                  <c:v>0</c:v>
                </c:pt>
                <c:pt idx="3">
                  <c:v>0</c:v>
                </c:pt>
                <c:pt idx="4">
                  <c:v>0</c:v>
                </c:pt>
                <c:pt idx="5">
                  <c:v>0</c:v>
                </c:pt>
                <c:pt idx="6">
                  <c:v>0</c:v>
                </c:pt>
              </c:numCache>
            </c:numRef>
          </c:val>
          <c:smooth val="0"/>
        </c:ser>
        <c:axId val="47582278"/>
        <c:axId val="25587319"/>
      </c:lineChart>
      <c:catAx>
        <c:axId val="47582278"/>
        <c:scaling>
          <c:orientation val="minMax"/>
        </c:scaling>
        <c:axPos val="b"/>
        <c:title>
          <c:tx>
            <c:rich>
              <a:bodyPr vert="horz" rot="0" anchor="ctr"/>
              <a:lstStyle/>
              <a:p>
                <a:pPr algn="ctr">
                  <a:defRPr/>
                </a:pPr>
                <a:r>
                  <a:rPr lang="en-US" cap="none" sz="800" b="1" i="0" u="none" baseline="0">
                    <a:latin typeface="Arial"/>
                    <a:ea typeface="Arial"/>
                    <a:cs typeface="Arial"/>
                  </a:rPr>
                  <a:t>Time (decades)</a:t>
                </a:r>
              </a:p>
            </c:rich>
          </c:tx>
          <c:layout/>
          <c:overlay val="0"/>
          <c:spPr>
            <a:noFill/>
            <a:ln>
              <a:noFill/>
            </a:ln>
          </c:spPr>
        </c:title>
        <c:delete val="0"/>
        <c:numFmt formatCode="General" sourceLinked="1"/>
        <c:majorTickMark val="in"/>
        <c:minorTickMark val="none"/>
        <c:tickLblPos val="nextTo"/>
        <c:crossAx val="25587319"/>
        <c:crosses val="autoZero"/>
        <c:auto val="0"/>
        <c:lblOffset val="100"/>
        <c:noMultiLvlLbl val="0"/>
      </c:catAx>
      <c:valAx>
        <c:axId val="25587319"/>
        <c:scaling>
          <c:orientation val="minMax"/>
        </c:scaling>
        <c:axPos val="l"/>
        <c:title>
          <c:tx>
            <c:rich>
              <a:bodyPr vert="horz" rot="-5400000" anchor="ctr"/>
              <a:lstStyle/>
              <a:p>
                <a:pPr algn="ctr">
                  <a:defRPr/>
                </a:pPr>
                <a:r>
                  <a:rPr lang="en-US" cap="none" sz="800" b="1" i="0" u="none" baseline="0">
                    <a:latin typeface="Arial"/>
                    <a:ea typeface="Arial"/>
                    <a:cs typeface="Arial"/>
                  </a:rPr>
                  <a:t>Gain</a:t>
                </a:r>
              </a:p>
            </c:rich>
          </c:tx>
          <c:layout/>
          <c:overlay val="0"/>
          <c:spPr>
            <a:noFill/>
            <a:ln>
              <a:noFill/>
            </a:ln>
          </c:spPr>
        </c:title>
        <c:delete val="0"/>
        <c:numFmt formatCode="0.00" sourceLinked="0"/>
        <c:majorTickMark val="in"/>
        <c:minorTickMark val="none"/>
        <c:tickLblPos val="nextTo"/>
        <c:crossAx val="47582278"/>
        <c:crossesAt val="1"/>
        <c:crossBetween val="midCat"/>
        <c:dispUnits/>
      </c:valAx>
      <c:spPr>
        <a:solidFill>
          <a:srgbClr val="C0C0C0"/>
        </a:solidFill>
        <a:ln w="12700">
          <a:solidFill>
            <a:srgbClr val="808080"/>
          </a:solidFill>
        </a:ln>
      </c:spPr>
    </c:plotArea>
    <c:legend>
      <c:legendPos val="r"/>
      <c:layout>
        <c:manualLayout>
          <c:xMode val="edge"/>
          <c:yMode val="edge"/>
          <c:x val="0.4105"/>
          <c:y val="0.62225"/>
          <c:w val="0.58575"/>
          <c:h val="0.196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Gain versus time</a:t>
            </a:r>
          </a:p>
        </c:rich>
      </c:tx>
      <c:layout>
        <c:manualLayout>
          <c:xMode val="factor"/>
          <c:yMode val="factor"/>
          <c:x val="-0.25575"/>
          <c:y val="0.03975"/>
        </c:manualLayout>
      </c:layout>
      <c:spPr>
        <a:ln w="3175">
          <a:noFill/>
        </a:ln>
      </c:spPr>
    </c:title>
    <c:plotArea>
      <c:layout>
        <c:manualLayout>
          <c:xMode val="edge"/>
          <c:yMode val="edge"/>
          <c:x val="0.046"/>
          <c:y val="0.022"/>
          <c:w val="0.94325"/>
          <c:h val="0.94125"/>
        </c:manualLayout>
      </c:layout>
      <c:lineChart>
        <c:grouping val="standard"/>
        <c:varyColors val="0"/>
        <c:ser>
          <c:idx val="1"/>
          <c:order val="0"/>
          <c:tx>
            <c:v>Selection of progeny tested parents (Alt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Main!$S$13:$S$18</c:f>
              <c:numCache>
                <c:ptCount val="6"/>
                <c:pt idx="0">
                  <c:v>0</c:v>
                </c:pt>
                <c:pt idx="1">
                  <c:v>0</c:v>
                </c:pt>
                <c:pt idx="2">
                  <c:v>0</c:v>
                </c:pt>
                <c:pt idx="3">
                  <c:v>0</c:v>
                </c:pt>
                <c:pt idx="4">
                  <c:v>0</c:v>
                </c:pt>
                <c:pt idx="5">
                  <c:v>0</c:v>
                </c:pt>
              </c:numCache>
            </c:numRef>
          </c:val>
          <c:smooth val="0"/>
        </c:ser>
        <c:ser>
          <c:idx val="2"/>
          <c:order val="1"/>
          <c:tx>
            <c:v>Selection of best parent pairs (Alt 2)</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Main!$S$23:$S$28</c:f>
              <c:numCache>
                <c:ptCount val="6"/>
                <c:pt idx="0">
                  <c:v>0</c:v>
                </c:pt>
                <c:pt idx="1">
                  <c:v>0</c:v>
                </c:pt>
                <c:pt idx="2">
                  <c:v>0</c:v>
                </c:pt>
                <c:pt idx="3">
                  <c:v>0</c:v>
                </c:pt>
                <c:pt idx="4">
                  <c:v>0</c:v>
                </c:pt>
                <c:pt idx="5">
                  <c:v>0</c:v>
                </c:pt>
              </c:numCache>
            </c:numRef>
          </c:val>
          <c:smooth val="0"/>
        </c:ser>
        <c:ser>
          <c:idx val="3"/>
          <c:order val="2"/>
          <c:tx>
            <c:v>Selection from full sibs (Alt 4)</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Main!$S$44:$S$50</c:f>
              <c:numCache>
                <c:ptCount val="7"/>
                <c:pt idx="0">
                  <c:v>0</c:v>
                </c:pt>
                <c:pt idx="1">
                  <c:v>0</c:v>
                </c:pt>
                <c:pt idx="2">
                  <c:v>0</c:v>
                </c:pt>
                <c:pt idx="3">
                  <c:v>0</c:v>
                </c:pt>
                <c:pt idx="4">
                  <c:v>0</c:v>
                </c:pt>
                <c:pt idx="5">
                  <c:v>0</c:v>
                </c:pt>
                <c:pt idx="6">
                  <c:v>0</c:v>
                </c:pt>
              </c:numCache>
            </c:numRef>
          </c:val>
          <c:smooth val="0"/>
        </c:ser>
        <c:ser>
          <c:idx val="4"/>
          <c:order val="3"/>
          <c:tx>
            <c:v>Selection from tested clones (Alt 5)</c:v>
          </c:tx>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Main!$S$57:$S$62</c:f>
              <c:numCache>
                <c:ptCount val="6"/>
                <c:pt idx="0">
                  <c:v>0</c:v>
                </c:pt>
                <c:pt idx="1">
                  <c:v>0</c:v>
                </c:pt>
                <c:pt idx="2">
                  <c:v>0</c:v>
                </c:pt>
                <c:pt idx="3">
                  <c:v>0</c:v>
                </c:pt>
                <c:pt idx="4">
                  <c:v>0</c:v>
                </c:pt>
                <c:pt idx="5">
                  <c:v>0</c:v>
                </c:pt>
              </c:numCache>
            </c:numRef>
          </c:val>
          <c:smooth val="0"/>
        </c:ser>
        <c:ser>
          <c:idx val="0"/>
          <c:order val="4"/>
          <c:tx>
            <c:v>Selection from half sibs (Alt 3)</c:v>
          </c:tx>
          <c:spPr>
            <a:ln w="381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Main!$S$33:$S$39</c:f>
              <c:numCache>
                <c:ptCount val="7"/>
                <c:pt idx="0">
                  <c:v>0</c:v>
                </c:pt>
                <c:pt idx="1">
                  <c:v>0</c:v>
                </c:pt>
                <c:pt idx="2">
                  <c:v>0</c:v>
                </c:pt>
                <c:pt idx="3">
                  <c:v>0</c:v>
                </c:pt>
                <c:pt idx="4">
                  <c:v>0</c:v>
                </c:pt>
                <c:pt idx="5">
                  <c:v>0</c:v>
                </c:pt>
                <c:pt idx="6">
                  <c:v>0</c:v>
                </c:pt>
              </c:numCache>
            </c:numRef>
          </c:val>
          <c:smooth val="0"/>
        </c:ser>
        <c:axId val="28959280"/>
        <c:axId val="59306929"/>
      </c:lineChart>
      <c:catAx>
        <c:axId val="28959280"/>
        <c:scaling>
          <c:orientation val="minMax"/>
        </c:scaling>
        <c:axPos val="b"/>
        <c:title>
          <c:tx>
            <c:rich>
              <a:bodyPr vert="horz" rot="0" anchor="ctr"/>
              <a:lstStyle/>
              <a:p>
                <a:pPr algn="ctr">
                  <a:defRPr/>
                </a:pPr>
                <a:r>
                  <a:rPr lang="en-US" cap="none" sz="800" b="1" i="0" u="none" baseline="0">
                    <a:latin typeface="Arial"/>
                    <a:ea typeface="Arial"/>
                    <a:cs typeface="Arial"/>
                  </a:rPr>
                  <a:t>Time (decades)</a:t>
                </a:r>
              </a:p>
            </c:rich>
          </c:tx>
          <c:layout/>
          <c:overlay val="0"/>
          <c:spPr>
            <a:noFill/>
            <a:ln>
              <a:noFill/>
            </a:ln>
          </c:spPr>
        </c:title>
        <c:delete val="0"/>
        <c:numFmt formatCode="General" sourceLinked="1"/>
        <c:majorTickMark val="in"/>
        <c:minorTickMark val="none"/>
        <c:tickLblPos val="nextTo"/>
        <c:crossAx val="59306929"/>
        <c:crosses val="autoZero"/>
        <c:auto val="0"/>
        <c:lblOffset val="100"/>
        <c:noMultiLvlLbl val="0"/>
      </c:catAx>
      <c:valAx>
        <c:axId val="59306929"/>
        <c:scaling>
          <c:orientation val="minMax"/>
        </c:scaling>
        <c:axPos val="l"/>
        <c:title>
          <c:tx>
            <c:rich>
              <a:bodyPr vert="horz" rot="-5400000" anchor="ctr"/>
              <a:lstStyle/>
              <a:p>
                <a:pPr algn="ctr">
                  <a:defRPr/>
                </a:pPr>
                <a:r>
                  <a:rPr lang="en-US" cap="none" sz="800" b="1" i="0" u="none" baseline="0">
                    <a:latin typeface="Arial"/>
                    <a:ea typeface="Arial"/>
                    <a:cs typeface="Arial"/>
                  </a:rPr>
                  <a:t>Gain (relative to sd of mature additive variance)</a:t>
                </a:r>
              </a:p>
            </c:rich>
          </c:tx>
          <c:layout/>
          <c:overlay val="0"/>
          <c:spPr>
            <a:noFill/>
            <a:ln>
              <a:noFill/>
            </a:ln>
          </c:spPr>
        </c:title>
        <c:delete val="0"/>
        <c:numFmt formatCode="0.00" sourceLinked="0"/>
        <c:majorTickMark val="in"/>
        <c:minorTickMark val="none"/>
        <c:tickLblPos val="nextTo"/>
        <c:crossAx val="28959280"/>
        <c:crossesAt val="1"/>
        <c:crossBetween val="midCat"/>
        <c:dispUnits/>
      </c:valAx>
      <c:spPr>
        <a:solidFill>
          <a:srgbClr val="C0C0C0"/>
        </a:solidFill>
        <a:ln w="12700">
          <a:solidFill>
            <a:srgbClr val="808080"/>
          </a:solidFill>
        </a:ln>
      </c:spPr>
    </c:plotArea>
    <c:legend>
      <c:legendPos val="r"/>
      <c:layout>
        <c:manualLayout>
          <c:xMode val="edge"/>
          <c:yMode val="edge"/>
          <c:x val="0.46375"/>
          <c:y val="0.6845"/>
          <c:w val="0.51325"/>
          <c:h val="0.203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Genetic value versus time</a:t>
            </a:r>
          </a:p>
        </c:rich>
      </c:tx>
      <c:layout>
        <c:manualLayout>
          <c:xMode val="factor"/>
          <c:yMode val="factor"/>
          <c:x val="-0.16475"/>
          <c:y val="0.04675"/>
        </c:manualLayout>
      </c:layout>
      <c:spPr>
        <a:ln w="3175">
          <a:noFill/>
        </a:ln>
      </c:spPr>
    </c:title>
    <c:plotArea>
      <c:layout>
        <c:manualLayout>
          <c:xMode val="edge"/>
          <c:yMode val="edge"/>
          <c:x val="0.08"/>
          <c:y val="0.024"/>
          <c:w val="0.91"/>
          <c:h val="0.937"/>
        </c:manualLayout>
      </c:layout>
      <c:lineChart>
        <c:grouping val="standard"/>
        <c:varyColors val="0"/>
        <c:ser>
          <c:idx val="1"/>
          <c:order val="0"/>
          <c:tx>
            <c:v>Selection of progeny tested parents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Main!$T$13:$T$18</c:f>
              <c:numCache/>
            </c:numRef>
          </c:val>
          <c:smooth val="0"/>
        </c:ser>
        <c:ser>
          <c:idx val="2"/>
          <c:order val="1"/>
          <c:tx>
            <c:v>selection of best parent pair</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Main!$T$23:$T$28</c:f>
              <c:numCache/>
            </c:numRef>
          </c:val>
          <c:smooth val="0"/>
        </c:ser>
        <c:ser>
          <c:idx val="3"/>
          <c:order val="2"/>
          <c:tx>
            <c:v>Selection from full sibs (Alt 4)</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Main!$T$44:$T$50</c:f>
              <c:numCache/>
            </c:numRef>
          </c:val>
          <c:smooth val="0"/>
        </c:ser>
        <c:ser>
          <c:idx val="4"/>
          <c:order val="3"/>
          <c:tx>
            <c:v>selection from tested clones</c:v>
          </c:tx>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Main!$T$57:$T$62</c:f>
              <c:numCache/>
            </c:numRef>
          </c:val>
          <c:smooth val="0"/>
        </c:ser>
        <c:ser>
          <c:idx val="0"/>
          <c:order val="4"/>
          <c:tx>
            <c:v>Selection from half sibs (Alt 3)</c:v>
          </c:tx>
          <c:spPr>
            <a:ln w="381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Main!$T$33:$T$39</c:f>
              <c:numCache/>
            </c:numRef>
          </c:val>
          <c:smooth val="0"/>
        </c:ser>
        <c:axId val="64000314"/>
        <c:axId val="39131915"/>
      </c:lineChart>
      <c:catAx>
        <c:axId val="64000314"/>
        <c:scaling>
          <c:orientation val="minMax"/>
        </c:scaling>
        <c:axPos val="b"/>
        <c:title>
          <c:tx>
            <c:rich>
              <a:bodyPr vert="horz" rot="0" anchor="ctr"/>
              <a:lstStyle/>
              <a:p>
                <a:pPr algn="ctr">
                  <a:defRPr/>
                </a:pPr>
                <a:r>
                  <a:rPr lang="en-US" cap="none" sz="800" b="1" i="0" u="none" baseline="0">
                    <a:latin typeface="Arial"/>
                    <a:ea typeface="Arial"/>
                    <a:cs typeface="Arial"/>
                  </a:rPr>
                  <a:t>Time (decades)</a:t>
                </a:r>
              </a:p>
            </c:rich>
          </c:tx>
          <c:layout/>
          <c:overlay val="0"/>
          <c:spPr>
            <a:noFill/>
            <a:ln>
              <a:noFill/>
            </a:ln>
          </c:spPr>
        </c:title>
        <c:delete val="0"/>
        <c:numFmt formatCode="General" sourceLinked="1"/>
        <c:majorTickMark val="in"/>
        <c:minorTickMark val="none"/>
        <c:tickLblPos val="nextTo"/>
        <c:crossAx val="39131915"/>
        <c:crosses val="autoZero"/>
        <c:auto val="0"/>
        <c:lblOffset val="100"/>
        <c:noMultiLvlLbl val="0"/>
      </c:catAx>
      <c:valAx>
        <c:axId val="39131915"/>
        <c:scaling>
          <c:orientation val="minMax"/>
        </c:scaling>
        <c:axPos val="l"/>
        <c:title>
          <c:tx>
            <c:rich>
              <a:bodyPr vert="horz" rot="-5400000" anchor="ctr"/>
              <a:lstStyle/>
              <a:p>
                <a:pPr algn="ctr">
                  <a:defRPr/>
                </a:pPr>
                <a:r>
                  <a:rPr lang="en-US" cap="none" sz="800" b="1" i="0" u="none" baseline="0">
                    <a:latin typeface="Arial"/>
                    <a:ea typeface="Arial"/>
                    <a:cs typeface="Arial"/>
                  </a:rPr>
                  <a:t>Genetic value of seed orchard material (plustrees=100)</a:t>
                </a:r>
              </a:p>
            </c:rich>
          </c:tx>
          <c:layout>
            <c:manualLayout>
              <c:xMode val="factor"/>
              <c:yMode val="factor"/>
              <c:x val="-0.00525"/>
              <c:y val="-0.002"/>
            </c:manualLayout>
          </c:layout>
          <c:overlay val="0"/>
          <c:spPr>
            <a:noFill/>
            <a:ln>
              <a:noFill/>
            </a:ln>
          </c:spPr>
        </c:title>
        <c:delete val="0"/>
        <c:numFmt formatCode="0" sourceLinked="0"/>
        <c:majorTickMark val="in"/>
        <c:minorTickMark val="none"/>
        <c:tickLblPos val="nextTo"/>
        <c:crossAx val="64000314"/>
        <c:crossesAt val="1"/>
        <c:crossBetween val="midCat"/>
        <c:dispUnits/>
      </c:valAx>
      <c:spPr>
        <a:solidFill>
          <a:srgbClr val="C0C0C0"/>
        </a:solidFill>
        <a:ln w="12700">
          <a:solidFill>
            <a:srgbClr val="808080"/>
          </a:solidFill>
        </a:ln>
      </c:spPr>
    </c:plotArea>
    <c:legend>
      <c:legendPos val="r"/>
      <c:layout>
        <c:manualLayout>
          <c:xMode val="edge"/>
          <c:yMode val="edge"/>
          <c:x val="0.529"/>
          <c:y val="0.6805"/>
          <c:w val="0.43925"/>
          <c:h val="0.213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FF0000"/>
                </a:solidFill>
                <a:latin typeface="Arial"/>
                <a:ea typeface="Arial"/>
                <a:cs typeface="Arial"/>
              </a:rPr>
              <a:t>Value versus time</a:t>
            </a:r>
          </a:p>
        </c:rich>
      </c:tx>
      <c:layout>
        <c:manualLayout>
          <c:xMode val="factor"/>
          <c:yMode val="factor"/>
          <c:x val="-0.25"/>
          <c:y val="0.04325"/>
        </c:manualLayout>
      </c:layout>
      <c:spPr>
        <a:ln w="3175">
          <a:noFill/>
        </a:ln>
      </c:spPr>
    </c:title>
    <c:plotArea>
      <c:layout>
        <c:manualLayout>
          <c:xMode val="edge"/>
          <c:yMode val="edge"/>
          <c:x val="0.055"/>
          <c:y val="0.02525"/>
          <c:w val="0.935"/>
          <c:h val="0.9315"/>
        </c:manualLayout>
      </c:layout>
      <c:lineChart>
        <c:grouping val="standard"/>
        <c:varyColors val="0"/>
        <c:ser>
          <c:idx val="1"/>
          <c:order val="0"/>
          <c:tx>
            <c:v>Selection of progeny tested parents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Main!$U$13:$U$18</c:f>
              <c:numCache/>
            </c:numRef>
          </c:val>
          <c:smooth val="0"/>
        </c:ser>
        <c:ser>
          <c:idx val="3"/>
          <c:order val="1"/>
          <c:tx>
            <c:v>Selection from full sibs (Alt 4)</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Main!$U$44:$U$51</c:f>
              <c:numCache/>
            </c:numRef>
          </c:val>
          <c:smooth val="0"/>
        </c:ser>
        <c:axId val="16642916"/>
        <c:axId val="15568517"/>
      </c:lineChart>
      <c:catAx>
        <c:axId val="16642916"/>
        <c:scaling>
          <c:orientation val="minMax"/>
        </c:scaling>
        <c:axPos val="b"/>
        <c:title>
          <c:tx>
            <c:rich>
              <a:bodyPr vert="horz" rot="0" anchor="ctr"/>
              <a:lstStyle/>
              <a:p>
                <a:pPr algn="ctr">
                  <a:defRPr/>
                </a:pPr>
                <a:r>
                  <a:rPr lang="en-US" cap="none" sz="800" b="1" i="0" u="none" baseline="0">
                    <a:latin typeface="Arial"/>
                    <a:ea typeface="Arial"/>
                    <a:cs typeface="Arial"/>
                  </a:rPr>
                  <a:t>Time (decades)</a:t>
                </a:r>
              </a:p>
            </c:rich>
          </c:tx>
          <c:layout/>
          <c:overlay val="0"/>
          <c:spPr>
            <a:noFill/>
            <a:ln>
              <a:noFill/>
            </a:ln>
          </c:spPr>
        </c:title>
        <c:delete val="0"/>
        <c:numFmt formatCode="General" sourceLinked="1"/>
        <c:majorTickMark val="in"/>
        <c:minorTickMark val="none"/>
        <c:tickLblPos val="nextTo"/>
        <c:crossAx val="15568517"/>
        <c:crosses val="autoZero"/>
        <c:auto val="0"/>
        <c:lblOffset val="100"/>
        <c:noMultiLvlLbl val="0"/>
      </c:catAx>
      <c:valAx>
        <c:axId val="15568517"/>
        <c:scaling>
          <c:orientation val="minMax"/>
        </c:scaling>
        <c:axPos val="l"/>
        <c:title>
          <c:tx>
            <c:rich>
              <a:bodyPr vert="horz" rot="-5400000" anchor="ctr"/>
              <a:lstStyle/>
              <a:p>
                <a:pPr algn="ctr">
                  <a:defRPr/>
                </a:pPr>
                <a:r>
                  <a:rPr lang="en-US" cap="none" sz="800" b="1" i="0" u="none" baseline="0">
                    <a:latin typeface="Arial"/>
                    <a:ea typeface="Arial"/>
                    <a:cs typeface="Arial"/>
                  </a:rPr>
                  <a:t>Benefit of seed orchard (plustrees=100)</a:t>
                </a:r>
              </a:p>
            </c:rich>
          </c:tx>
          <c:layout>
            <c:manualLayout>
              <c:xMode val="factor"/>
              <c:yMode val="factor"/>
              <c:x val="-0.00525"/>
              <c:y val="-0.002"/>
            </c:manualLayout>
          </c:layout>
          <c:overlay val="0"/>
          <c:spPr>
            <a:noFill/>
            <a:ln>
              <a:noFill/>
            </a:ln>
          </c:spPr>
        </c:title>
        <c:delete val="0"/>
        <c:numFmt formatCode="0" sourceLinked="0"/>
        <c:majorTickMark val="in"/>
        <c:minorTickMark val="none"/>
        <c:tickLblPos val="nextTo"/>
        <c:crossAx val="16642916"/>
        <c:crossesAt val="1"/>
        <c:crossBetween val="midCat"/>
        <c:dispUnits/>
      </c:valAx>
      <c:spPr>
        <a:solidFill>
          <a:srgbClr val="C0C0C0"/>
        </a:solidFill>
        <a:ln w="12700">
          <a:solidFill>
            <a:srgbClr val="808080"/>
          </a:solidFill>
        </a:ln>
      </c:spPr>
    </c:plotArea>
    <c:legend>
      <c:legendPos val="r"/>
      <c:layout>
        <c:manualLayout>
          <c:xMode val="edge"/>
          <c:yMode val="edge"/>
          <c:x val="0.49175"/>
          <c:y val="0.7155"/>
          <c:w val="0.47825"/>
          <c:h val="0.14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Gain versus time</a:t>
            </a:r>
          </a:p>
        </c:rich>
      </c:tx>
      <c:layout/>
      <c:spPr>
        <a:noFill/>
        <a:ln>
          <a:noFill/>
        </a:ln>
      </c:spPr>
    </c:title>
    <c:plotArea>
      <c:layout/>
      <c:lineChart>
        <c:grouping val="standard"/>
        <c:varyColors val="0"/>
        <c:ser>
          <c:idx val="1"/>
          <c:order val="0"/>
          <c:tx>
            <c:v>Selection of progeny tested parents</c:v>
          </c:tx>
          <c:extLst>
            <c:ext xmlns:c14="http://schemas.microsoft.com/office/drawing/2007/8/2/chart" uri="{6F2FDCE9-48DA-4B69-8628-5D25D57E5C99}">
              <c14:invertSolidFillFmt>
                <c14:spPr>
                  <a:solidFill>
                    <a:srgbClr val="000000"/>
                  </a:solidFill>
                </c14:spPr>
              </c14:invertSolidFillFmt>
            </c:ext>
          </c:extLst>
          <c:marker>
            <c:symbol val="none"/>
          </c:marker>
          <c:val>
            <c:numRef>
              <c:f>'Gain pred ClonalMix'!#REF!</c:f>
              <c:numCache>
                <c:ptCount val="1"/>
                <c:pt idx="0">
                  <c:v>1</c:v>
                </c:pt>
              </c:numCache>
            </c:numRef>
          </c:val>
          <c:smooth val="0"/>
        </c:ser>
        <c:ser>
          <c:idx val="2"/>
          <c:order val="1"/>
          <c:tx>
            <c:v>selection of best parent pair</c:v>
          </c:tx>
          <c:extLst>
            <c:ext xmlns:c14="http://schemas.microsoft.com/office/drawing/2007/8/2/chart" uri="{6F2FDCE9-48DA-4B69-8628-5D25D57E5C99}">
              <c14:invertSolidFillFmt>
                <c14:spPr>
                  <a:solidFill>
                    <a:srgbClr val="000000"/>
                  </a:solidFill>
                </c14:spPr>
              </c14:invertSolidFillFmt>
            </c:ext>
          </c:extLst>
          <c:marker>
            <c:symbol val="none"/>
          </c:marker>
          <c:val>
            <c:numRef>
              <c:f>'Gain pred ClonalMix'!#REF!</c:f>
              <c:numCache>
                <c:ptCount val="1"/>
                <c:pt idx="0">
                  <c:v>1</c:v>
                </c:pt>
              </c:numCache>
            </c:numRef>
          </c:val>
          <c:smooth val="0"/>
        </c:ser>
        <c:ser>
          <c:idx val="3"/>
          <c:order val="2"/>
          <c:tx>
            <c:v>Selection from full sibs (Alt 4)</c:v>
          </c:tx>
          <c:extLst>
            <c:ext xmlns:c14="http://schemas.microsoft.com/office/drawing/2007/8/2/chart" uri="{6F2FDCE9-48DA-4B69-8628-5D25D57E5C99}">
              <c14:invertSolidFillFmt>
                <c14:spPr>
                  <a:solidFill>
                    <a:srgbClr val="000000"/>
                  </a:solidFill>
                </c14:spPr>
              </c14:invertSolidFillFmt>
            </c:ext>
          </c:extLst>
          <c:marker>
            <c:symbol val="none"/>
          </c:marker>
          <c:val>
            <c:numRef>
              <c:f>'Gain pred ClonalMix'!#REF!</c:f>
              <c:numCache>
                <c:ptCount val="1"/>
                <c:pt idx="0">
                  <c:v>1</c:v>
                </c:pt>
              </c:numCache>
            </c:numRef>
          </c:val>
          <c:smooth val="0"/>
        </c:ser>
        <c:ser>
          <c:idx val="4"/>
          <c:order val="3"/>
          <c:tx>
            <c:v>selection from tested clones</c:v>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'Gain pred ClonalMix'!#REF!</c:f>
              <c:numCache>
                <c:ptCount val="1"/>
                <c:pt idx="0">
                  <c:v>1</c:v>
                </c:pt>
              </c:numCache>
            </c:numRef>
          </c:val>
          <c:smooth val="0"/>
        </c:ser>
        <c:ser>
          <c:idx val="0"/>
          <c:order val="4"/>
          <c:tx>
            <c:v>Selection from half sibs (Alt 3)</c:v>
          </c:tx>
          <c:extLst>
            <c:ext xmlns:c14="http://schemas.microsoft.com/office/drawing/2007/8/2/chart" uri="{6F2FDCE9-48DA-4B69-8628-5D25D57E5C99}">
              <c14:invertSolidFillFmt>
                <c14:spPr>
                  <a:solidFill>
                    <a:srgbClr val="000000"/>
                  </a:solidFill>
                </c14:spPr>
              </c14:invertSolidFillFmt>
            </c:ext>
          </c:extLst>
          <c:marker>
            <c:symbol val="none"/>
          </c:marker>
          <c:val>
            <c:numRef>
              <c:f>'Gain pred ClonalMix'!#REF!</c:f>
              <c:numCache>
                <c:ptCount val="1"/>
                <c:pt idx="0">
                  <c:v>1</c:v>
                </c:pt>
              </c:numCache>
            </c:numRef>
          </c:val>
          <c:smooth val="0"/>
        </c:ser>
        <c:axId val="5898926"/>
        <c:axId val="53090335"/>
      </c:lineChart>
      <c:catAx>
        <c:axId val="5898926"/>
        <c:scaling>
          <c:orientation val="minMax"/>
        </c:scaling>
        <c:axPos val="b"/>
        <c:title>
          <c:tx>
            <c:rich>
              <a:bodyPr vert="horz" rot="0" anchor="ctr"/>
              <a:lstStyle/>
              <a:p>
                <a:pPr algn="ctr">
                  <a:defRPr/>
                </a:pPr>
                <a:r>
                  <a:rPr lang="en-US" cap="none" sz="800" b="1" i="0" u="none" baseline="0">
                    <a:latin typeface="Arial"/>
                    <a:ea typeface="Arial"/>
                    <a:cs typeface="Arial"/>
                  </a:rPr>
                  <a:t>Time (decades)</a:t>
                </a:r>
              </a:p>
            </c:rich>
          </c:tx>
          <c:layout/>
          <c:overlay val="0"/>
          <c:spPr>
            <a:noFill/>
            <a:ln>
              <a:noFill/>
            </a:ln>
          </c:spPr>
        </c:title>
        <c:delete val="0"/>
        <c:numFmt formatCode="General" sourceLinked="1"/>
        <c:majorTickMark val="in"/>
        <c:minorTickMark val="none"/>
        <c:tickLblPos val="nextTo"/>
        <c:crossAx val="53090335"/>
        <c:crosses val="autoZero"/>
        <c:auto val="0"/>
        <c:lblOffset val="100"/>
        <c:noMultiLvlLbl val="0"/>
      </c:catAx>
      <c:valAx>
        <c:axId val="53090335"/>
        <c:scaling>
          <c:orientation val="minMax"/>
        </c:scaling>
        <c:axPos val="l"/>
        <c:title>
          <c:tx>
            <c:rich>
              <a:bodyPr vert="horz" rot="-5400000" anchor="ctr"/>
              <a:lstStyle/>
              <a:p>
                <a:pPr algn="ctr">
                  <a:defRPr/>
                </a:pPr>
                <a:r>
                  <a:rPr lang="en-US" cap="none" sz="800" b="1" i="0" u="none" baseline="0">
                    <a:latin typeface="Arial"/>
                    <a:ea typeface="Arial"/>
                    <a:cs typeface="Arial"/>
                  </a:rPr>
                  <a:t>Gain</a:t>
                </a:r>
              </a:p>
            </c:rich>
          </c:tx>
          <c:layout/>
          <c:overlay val="0"/>
          <c:spPr>
            <a:noFill/>
            <a:ln>
              <a:noFill/>
            </a:ln>
          </c:spPr>
        </c:title>
        <c:delete val="0"/>
        <c:numFmt formatCode="0.00" sourceLinked="0"/>
        <c:majorTickMark val="in"/>
        <c:minorTickMark val="none"/>
        <c:tickLblPos val="nextTo"/>
        <c:crossAx val="5898926"/>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0.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7.emf" /><Relationship Id="rId6" Type="http://schemas.openxmlformats.org/officeDocument/2006/relationships/image" Target="../media/image9.emf" /><Relationship Id="rId7" Type="http://schemas.openxmlformats.org/officeDocument/2006/relationships/image" Target="../media/image6.emf" /><Relationship Id="rId8" Type="http://schemas.openxmlformats.org/officeDocument/2006/relationships/image" Target="../media/image3.emf" /><Relationship Id="rId9" Type="http://schemas.openxmlformats.org/officeDocument/2006/relationships/image" Target="../media/image2.emf" /><Relationship Id="rId10"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59</xdr:row>
      <xdr:rowOff>2438400</xdr:rowOff>
    </xdr:from>
    <xdr:to>
      <xdr:col>9</xdr:col>
      <xdr:colOff>200025</xdr:colOff>
      <xdr:row>67</xdr:row>
      <xdr:rowOff>57150</xdr:rowOff>
    </xdr:to>
    <xdr:sp>
      <xdr:nvSpPr>
        <xdr:cNvPr id="1" name="Text 14"/>
        <xdr:cNvSpPr txBox="1">
          <a:spLocks noChangeArrowheads="1"/>
        </xdr:cNvSpPr>
      </xdr:nvSpPr>
      <xdr:spPr>
        <a:xfrm>
          <a:off x="95250" y="11887200"/>
          <a:ext cx="559117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Selection from half sib families</a:t>
          </a:r>
          <a:r>
            <a:rPr lang="en-US" cap="none" sz="1000" b="0" i="0" u="none" baseline="0">
              <a:latin typeface="Arial"/>
              <a:ea typeface="Arial"/>
              <a:cs typeface="Arial"/>
            </a:rPr>
            <a:t>
This simulation assumes the zero point on the breeding value scale so that the initially selected plus trees have average breeding value zero (and genetic performance 100%). This creates no problem for half sibs if the fathers and the mothers represent the same population, that is probably the case after a polycross or pollination in seed orchard or archive. However, in a situation where open pollination progeny is collected from selected trees (which is common in progeny testing), the mothers are selected, but the fathers not. This concerns only alternative G3. The fathers thus have a negative breeding value which reduces the average of the halfsibs to half the gain by selecting plus trees. It is rather problematic how to express this in a general way. </a:t>
          </a:r>
          <a:r>
            <a:rPr lang="en-US" cap="none" sz="1000" b="0" i="0" u="none" baseline="0">
              <a:latin typeface="Arial"/>
              <a:ea typeface="Arial"/>
              <a:cs typeface="Arial"/>
            </a:rPr>
            <a:t>This is considered by making two different columns when gain over time is presented, one with deduction for fathers and one without.</a:t>
          </a:r>
        </a:p>
      </xdr:txBody>
    </xdr:sp>
    <xdr:clientData/>
  </xdr:twoCellAnchor>
  <xdr:twoCellAnchor>
    <xdr:from>
      <xdr:col>0</xdr:col>
      <xdr:colOff>57150</xdr:colOff>
      <xdr:row>27</xdr:row>
      <xdr:rowOff>133350</xdr:rowOff>
    </xdr:from>
    <xdr:to>
      <xdr:col>9</xdr:col>
      <xdr:colOff>228600</xdr:colOff>
      <xdr:row>40</xdr:row>
      <xdr:rowOff>47625</xdr:rowOff>
    </xdr:to>
    <xdr:sp>
      <xdr:nvSpPr>
        <xdr:cNvPr id="2" name="Text 15"/>
        <xdr:cNvSpPr txBox="1">
          <a:spLocks noChangeArrowheads="1"/>
        </xdr:cNvSpPr>
      </xdr:nvSpPr>
      <xdr:spPr>
        <a:xfrm>
          <a:off x="57150" y="4371975"/>
          <a:ext cx="56578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Introduction</a:t>
          </a:r>
          <a:r>
            <a:rPr lang="en-US" cap="none" sz="1000" b="0" i="0" u="none" baseline="0">
              <a:latin typeface="Arial"/>
              <a:ea typeface="Arial"/>
              <a:cs typeface="Arial"/>
            </a:rPr>
            <a:t>
This workbook offers a way to compare different breeding options foucing on their ability to support seed orchards established in the foreseeable future. The workbook can be used for identifying and comparing the most promising alternatives. It can be seen as a deterministic breeding simulator. Like a flight simulator responds to rudder input, the genetic response of this simulator changes with the design of a breeding operation.  The simulator considers values of genetic variables, which may not be directly under the breeders control, the cost components, as well as the timing of the operation. It also recognises the effect of the breeders intentional decisions. The breeder controls the mating system, and can choose if testing is made by vegetative propagation or progeny testing or if just phenotypic selection is used. The breeder controls the number of parents, the number and size of families, the size of clones and the number of selections (selection intensity may be derived from the later). Some things, like the interactive figure, can be moved on the sheet.</a:t>
          </a:r>
        </a:p>
      </xdr:txBody>
    </xdr:sp>
    <xdr:clientData/>
  </xdr:twoCellAnchor>
  <xdr:twoCellAnchor>
    <xdr:from>
      <xdr:col>0</xdr:col>
      <xdr:colOff>333375</xdr:colOff>
      <xdr:row>1</xdr:row>
      <xdr:rowOff>38100</xdr:rowOff>
    </xdr:from>
    <xdr:to>
      <xdr:col>9</xdr:col>
      <xdr:colOff>114300</xdr:colOff>
      <xdr:row>8</xdr:row>
      <xdr:rowOff>9525</xdr:rowOff>
    </xdr:to>
    <xdr:sp>
      <xdr:nvSpPr>
        <xdr:cNvPr id="3" name="Text 16"/>
        <xdr:cNvSpPr txBox="1">
          <a:spLocks noChangeArrowheads="1"/>
        </xdr:cNvSpPr>
      </xdr:nvSpPr>
      <xdr:spPr>
        <a:xfrm>
          <a:off x="333375" y="238125"/>
          <a:ext cx="52673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FF"/>
              </a:solidFill>
              <a:latin typeface="Arial"/>
              <a:ea typeface="Arial"/>
              <a:cs typeface="Arial"/>
            </a:rPr>
            <a:t>Welcome to GAINPRED-ADVANCED2002.xls</a:t>
          </a:r>
          <a:r>
            <a:rPr lang="en-US" cap="none" sz="1000" b="0" i="0" u="none" baseline="0">
              <a:latin typeface="Arial"/>
              <a:ea typeface="Arial"/>
              <a:cs typeface="Arial"/>
            </a:rPr>
            <a:t>
This work-book compares primarily different selection strategies ending in a seed orchard. Genetic gain, status number, cost and time are considered. However, it can also be used for other purposes and may also be helpful for some considerations related to long-term breeding. This workbook is the continuation of a simpler one, which focuses only on the gain formula, and is called GAINPRED.</a:t>
          </a:r>
        </a:p>
      </xdr:txBody>
    </xdr:sp>
    <xdr:clientData/>
  </xdr:twoCellAnchor>
  <xdr:twoCellAnchor>
    <xdr:from>
      <xdr:col>0</xdr:col>
      <xdr:colOff>142875</xdr:colOff>
      <xdr:row>74</xdr:row>
      <xdr:rowOff>133350</xdr:rowOff>
    </xdr:from>
    <xdr:to>
      <xdr:col>9</xdr:col>
      <xdr:colOff>47625</xdr:colOff>
      <xdr:row>80</xdr:row>
      <xdr:rowOff>85725</xdr:rowOff>
    </xdr:to>
    <xdr:sp>
      <xdr:nvSpPr>
        <xdr:cNvPr id="4" name="Text 17"/>
        <xdr:cNvSpPr txBox="1">
          <a:spLocks noChangeArrowheads="1"/>
        </xdr:cNvSpPr>
      </xdr:nvSpPr>
      <xdr:spPr>
        <a:xfrm>
          <a:off x="142875" y="14316075"/>
          <a:ext cx="5391150"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Gain prediction</a:t>
          </a:r>
          <a:r>
            <a:rPr lang="en-US" cap="none" sz="1000" b="0" i="0" u="none" baseline="0">
              <a:latin typeface="Arial"/>
              <a:ea typeface="Arial"/>
              <a:cs typeface="Arial"/>
            </a:rPr>
            <a:t>
The formulas are taken from Lindgren and Werner (1989).  These formulas are given below. The breeding value of the founding parents (the selected plus trees) are usually set to 0. The indici on G refer to the alternatives in the sheets "Gain pred BreedingValue" and "Explanation of alternatives".
</a:t>
          </a:r>
        </a:p>
      </xdr:txBody>
    </xdr:sp>
    <xdr:clientData/>
  </xdr:twoCellAnchor>
  <xdr:twoCellAnchor>
    <xdr:from>
      <xdr:col>0</xdr:col>
      <xdr:colOff>57150</xdr:colOff>
      <xdr:row>57</xdr:row>
      <xdr:rowOff>76200</xdr:rowOff>
    </xdr:from>
    <xdr:to>
      <xdr:col>9</xdr:col>
      <xdr:colOff>219075</xdr:colOff>
      <xdr:row>59</xdr:row>
      <xdr:rowOff>923925</xdr:rowOff>
    </xdr:to>
    <xdr:sp>
      <xdr:nvSpPr>
        <xdr:cNvPr id="5" name="Text 18"/>
        <xdr:cNvSpPr txBox="1">
          <a:spLocks noChangeArrowheads="1"/>
        </xdr:cNvSpPr>
      </xdr:nvSpPr>
      <xdr:spPr>
        <a:xfrm>
          <a:off x="57150" y="9163050"/>
          <a:ext cx="56483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Cost conciderations</a:t>
          </a:r>
          <a:r>
            <a:rPr lang="en-US" cap="none" sz="1000" b="0" i="0" u="none" baseline="0">
              <a:latin typeface="Arial"/>
              <a:ea typeface="Arial"/>
              <a:cs typeface="Arial"/>
            </a:rPr>
            <a:t>
The cost of the alternatives are given as a function of certain cost components. The cost components can be changed by the user. This makes it possible to compare different options at the same cost, or at least to consider that alternatives may be different costly. Here costs are seen as dependent only on the number of parents and plants. More complex models can be developed. Controlled crosses are more expensive than OP, but as SPM is used that means half as many families per parent as in OP are needed.</a:t>
          </a:r>
        </a:p>
      </xdr:txBody>
    </xdr:sp>
    <xdr:clientData/>
  </xdr:twoCellAnchor>
  <xdr:twoCellAnchor>
    <xdr:from>
      <xdr:col>0</xdr:col>
      <xdr:colOff>95250</xdr:colOff>
      <xdr:row>45</xdr:row>
      <xdr:rowOff>95250</xdr:rowOff>
    </xdr:from>
    <xdr:to>
      <xdr:col>9</xdr:col>
      <xdr:colOff>228600</xdr:colOff>
      <xdr:row>57</xdr:row>
      <xdr:rowOff>28575</xdr:rowOff>
    </xdr:to>
    <xdr:sp>
      <xdr:nvSpPr>
        <xdr:cNvPr id="6" name="Text 19"/>
        <xdr:cNvSpPr txBox="1">
          <a:spLocks noChangeArrowheads="1"/>
        </xdr:cNvSpPr>
      </xdr:nvSpPr>
      <xdr:spPr>
        <a:xfrm>
          <a:off x="95250" y="7239000"/>
          <a:ext cx="5619750" cy="187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Diversity (status number, group coancestry, relatedness)</a:t>
          </a:r>
          <a:r>
            <a:rPr lang="en-US" cap="none" sz="1000" b="0" i="0" u="none" baseline="0">
              <a:latin typeface="Arial"/>
              <a:ea typeface="Arial"/>
              <a:cs typeface="Arial"/>
            </a:rPr>
            <a:t>
Selection has not only effects on immediate gain, but also on diversity. Diversity is required from seed orchards, but is also useful for long-term breeding where it can be reversed to gain. Selection tends to make trees more related. These effects are quantified as group (average) coancestry or status number according to Lindgren et al (1996). It is assumed that the parent population consists of unrelated trees not affected by inbreeding. In alternatives with parental selection based on the performance of the progeny or cloned replications, status number and selected number are equal. For a half sib and full sib with no inbreeding the status number varies with the number of family members according to formulas given by Lindgren et al (1996). Relatedness can be considered e.g. by comparing alternatives which results in the same status number.</a:t>
          </a:r>
        </a:p>
      </xdr:txBody>
    </xdr:sp>
    <xdr:clientData/>
  </xdr:twoCellAnchor>
  <xdr:twoCellAnchor>
    <xdr:from>
      <xdr:col>0</xdr:col>
      <xdr:colOff>95250</xdr:colOff>
      <xdr:row>59</xdr:row>
      <xdr:rowOff>990600</xdr:rowOff>
    </xdr:from>
    <xdr:to>
      <xdr:col>9</xdr:col>
      <xdr:colOff>238125</xdr:colOff>
      <xdr:row>59</xdr:row>
      <xdr:rowOff>2362200</xdr:rowOff>
    </xdr:to>
    <xdr:sp>
      <xdr:nvSpPr>
        <xdr:cNvPr id="7" name="Text 22"/>
        <xdr:cNvSpPr txBox="1">
          <a:spLocks noChangeArrowheads="1"/>
        </xdr:cNvSpPr>
      </xdr:nvSpPr>
      <xdr:spPr>
        <a:xfrm>
          <a:off x="95250" y="10439400"/>
          <a:ext cx="5629275"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Timing</a:t>
          </a:r>
          <a:r>
            <a:rPr lang="en-US" cap="none" sz="1000" b="0" i="0" u="none" baseline="0">
              <a:latin typeface="Arial"/>
              <a:ea typeface="Arial"/>
              <a:cs typeface="Arial"/>
            </a:rPr>
            <a:t>
GAINPRED offers tables where gain at different times is given. The reason that gain increases by time is that the experiments are growing, and results become more reliable when based on older trials. This makes it possible to compare different alternatives at different times. The breeder can input how long time is needed until experiments can be established and how long time it takes from measurement of experiment until gain is obtained (e.g. until seed orchard establishment, or the first cone crop in an orchard). With those time components it can be seen how long time the experiment has to grow, and how much rY or rg grows in that time.</a:t>
          </a:r>
        </a:p>
      </xdr:txBody>
    </xdr:sp>
    <xdr:clientData/>
  </xdr:twoCellAnchor>
  <xdr:twoCellAnchor>
    <xdr:from>
      <xdr:col>0</xdr:col>
      <xdr:colOff>142875</xdr:colOff>
      <xdr:row>117</xdr:row>
      <xdr:rowOff>28575</xdr:rowOff>
    </xdr:from>
    <xdr:to>
      <xdr:col>8</xdr:col>
      <xdr:colOff>523875</xdr:colOff>
      <xdr:row>135</xdr:row>
      <xdr:rowOff>38100</xdr:rowOff>
    </xdr:to>
    <xdr:sp>
      <xdr:nvSpPr>
        <xdr:cNvPr id="8" name="Text 23"/>
        <xdr:cNvSpPr txBox="1">
          <a:spLocks noChangeArrowheads="1"/>
        </xdr:cNvSpPr>
      </xdr:nvSpPr>
      <xdr:spPr>
        <a:xfrm>
          <a:off x="142875" y="21174075"/>
          <a:ext cx="5257800"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Constraints</a:t>
          </a:r>
          <a:r>
            <a:rPr lang="en-US" cap="none" sz="1000" b="0" i="0" u="none" baseline="0">
              <a:solidFill>
                <a:srgbClr val="000000"/>
              </a:solidFill>
              <a:latin typeface="Arial"/>
              <a:ea typeface="Arial"/>
              <a:cs typeface="Arial"/>
            </a:rPr>
            <a:t>
Only SPM (single pair matings) are considered as alternative comprising full sib families. Either a family is not represented at all among the selections, or it is represented by a fixed number of individuals. No considerations about genotype*environment interaction or number of test localities or range to use the material has been made. The predicting formulas refer to the case where the improved material is spread out over an area where input are valid. The effect of genotype-environment interaction if one goes from the parameters of a single site to real forestry over an area could be considered by assigning R a smaller value than 1.
Gain is expressed in a single character (although that character may be a combined index including many characters). No "after-effects" has been considered, this probably considerably overestimates the gain aschieved by progeny-test based on wind-pollination in the forest. Cloning has been assumed not to change the performance or induce an extra variation, this is probably not true, but it would be difficult to express in formulas or figures.
Note that in a real seed orchard will inbreeding occur. This has not been considered. In a real seed orchard gain can be boosted by using more ramets of better clones, this is not considered.</a:t>
          </a:r>
        </a:p>
      </xdr:txBody>
    </xdr:sp>
    <xdr:clientData/>
  </xdr:twoCellAnchor>
  <xdr:twoCellAnchor>
    <xdr:from>
      <xdr:col>0</xdr:col>
      <xdr:colOff>161925</xdr:colOff>
      <xdr:row>68</xdr:row>
      <xdr:rowOff>28575</xdr:rowOff>
    </xdr:from>
    <xdr:to>
      <xdr:col>9</xdr:col>
      <xdr:colOff>133350</xdr:colOff>
      <xdr:row>74</xdr:row>
      <xdr:rowOff>38100</xdr:rowOff>
    </xdr:to>
    <xdr:sp>
      <xdr:nvSpPr>
        <xdr:cNvPr id="9" name="Text 24"/>
        <xdr:cNvSpPr txBox="1">
          <a:spLocks noChangeArrowheads="1"/>
        </xdr:cNvSpPr>
      </xdr:nvSpPr>
      <xdr:spPr>
        <a:xfrm>
          <a:off x="161925" y="13211175"/>
          <a:ext cx="5457825"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Trouble?</a:t>
          </a:r>
          <a:r>
            <a:rPr lang="en-US" cap="none" sz="1000" b="0" i="0" u="none" baseline="0">
              <a:solidFill>
                <a:srgbClr val="000000"/>
              </a:solidFill>
              <a:latin typeface="Arial"/>
              <a:ea typeface="Arial"/>
              <a:cs typeface="Arial"/>
            </a:rPr>
            <a:t>
Note that it is possible to make unvalid input, usually the worksheet will protest by not working properly, which may cause confusion. You may be in the wrong place of the workbook or worksheet. Information about trouble would be gladly received (if your copy is recently collected from the web) by Dag.Lindgren@genfys.slu.se</a:t>
          </a:r>
        </a:p>
      </xdr:txBody>
    </xdr:sp>
    <xdr:clientData/>
  </xdr:twoCellAnchor>
  <xdr:twoCellAnchor>
    <xdr:from>
      <xdr:col>0</xdr:col>
      <xdr:colOff>161925</xdr:colOff>
      <xdr:row>135</xdr:row>
      <xdr:rowOff>57150</xdr:rowOff>
    </xdr:from>
    <xdr:to>
      <xdr:col>8</xdr:col>
      <xdr:colOff>590550</xdr:colOff>
      <xdr:row>148</xdr:row>
      <xdr:rowOff>38100</xdr:rowOff>
    </xdr:to>
    <xdr:sp>
      <xdr:nvSpPr>
        <xdr:cNvPr id="10" name="Text 25"/>
        <xdr:cNvSpPr txBox="1">
          <a:spLocks noChangeArrowheads="1"/>
        </xdr:cNvSpPr>
      </xdr:nvSpPr>
      <xdr:spPr>
        <a:xfrm>
          <a:off x="161925" y="24117300"/>
          <a:ext cx="5305425"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Litterature</a:t>
          </a:r>
          <a:r>
            <a:rPr lang="en-US" cap="none" sz="1000" b="0" i="0" u="none" baseline="0">
              <a:solidFill>
                <a:srgbClr val="000000"/>
              </a:solidFill>
              <a:latin typeface="Arial"/>
              <a:ea typeface="Arial"/>
              <a:cs typeface="Arial"/>
            </a:rPr>
            <a:t>
Lindgren D and Werner M (1989) Gain generating efficiency of different Norway spruce seed orchard designs. Includes an appendix by Öje Danell. In Stener L-G and Werner M (editors) Norway spruce:provenances,breeding and genetic conservation. Institutet for skogsforbättring. Rapport 11:189-206.
Lindgren D, Gea L, &amp; Jefferson P 1996. Loss of genetic diversity monitored by status number.  Silvae Genetica, 45:52-59.
Lindgren  D, Wei R-P and Lee S. 1997. Optimum family number in the first cycle of a breeding program. For. Sci. 43(2): 206-212.
Lstiburek M 2000. Theoretical analyses of the possible benefit of vegetative propagation for quality birch. Student thesis at department of forest genetics and plant physiology, SLU.</a:t>
          </a:r>
        </a:p>
      </xdr:txBody>
    </xdr:sp>
    <xdr:clientData/>
  </xdr:twoCellAnchor>
  <xdr:twoCellAnchor>
    <xdr:from>
      <xdr:col>0</xdr:col>
      <xdr:colOff>76200</xdr:colOff>
      <xdr:row>210</xdr:row>
      <xdr:rowOff>9525</xdr:rowOff>
    </xdr:from>
    <xdr:to>
      <xdr:col>8</xdr:col>
      <xdr:colOff>581025</xdr:colOff>
      <xdr:row>221</xdr:row>
      <xdr:rowOff>38100</xdr:rowOff>
    </xdr:to>
    <xdr:sp>
      <xdr:nvSpPr>
        <xdr:cNvPr id="11" name="TextBox 28"/>
        <xdr:cNvSpPr txBox="1">
          <a:spLocks noChangeArrowheads="1"/>
        </xdr:cNvSpPr>
      </xdr:nvSpPr>
      <xdr:spPr>
        <a:xfrm>
          <a:off x="76200" y="36233100"/>
          <a:ext cx="5381625"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Solver for optimisation</a:t>
          </a:r>
          <a:r>
            <a:rPr lang="en-US" cap="none" sz="1000" b="0" i="0" u="none" baseline="0">
              <a:latin typeface="Arial"/>
              <a:ea typeface="Arial"/>
              <a:cs typeface="Arial"/>
            </a:rPr>
            <a:t>
If you are looking for an optimally efficient solutiona you can use Solver in the relevant worksheet. Solver can determine the maximum or minimum value of one specific cell, which can be obtained by changing other specific cells. In this way, you can maximise e.g. the predicted breeding value allowing some values vary while keeping other constant. As a constraint, you may e.g. place cost.  Solver will find the values of all adjustable cells (e.g. progeny size), which e.g. maximises the breeding value under your restrictions. To get a better understanding of this technique you may look at EXCEL Help or try the examples which exist Dag Lindgren's website. When you run Solver in Gainpred you can try to place following values into "Options": Precision: 0.00000001; Tolerance: 0.002; 
Convergence: 0.0001, but we are uncertain on how to handle this.
</a:t>
          </a:r>
        </a:p>
      </xdr:txBody>
    </xdr:sp>
    <xdr:clientData/>
  </xdr:twoCellAnchor>
  <xdr:twoCellAnchor>
    <xdr:from>
      <xdr:col>0</xdr:col>
      <xdr:colOff>0</xdr:colOff>
      <xdr:row>157</xdr:row>
      <xdr:rowOff>104775</xdr:rowOff>
    </xdr:from>
    <xdr:to>
      <xdr:col>8</xdr:col>
      <xdr:colOff>457200</xdr:colOff>
      <xdr:row>163</xdr:row>
      <xdr:rowOff>123825</xdr:rowOff>
    </xdr:to>
    <xdr:sp>
      <xdr:nvSpPr>
        <xdr:cNvPr id="12" name="TextBox 29"/>
        <xdr:cNvSpPr txBox="1">
          <a:spLocks noChangeArrowheads="1"/>
        </xdr:cNvSpPr>
      </xdr:nvSpPr>
      <xdr:spPr>
        <a:xfrm>
          <a:off x="0" y="27727275"/>
          <a:ext cx="53340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Selection intensity</a:t>
          </a:r>
          <a:r>
            <a:rPr lang="en-US" cap="none" sz="1000" b="0" i="0" u="none" baseline="0">
              <a:latin typeface="Arial"/>
              <a:ea typeface="Arial"/>
              <a:cs typeface="Arial"/>
            </a:rPr>
            <a:t>
The selection intensity is obtained by calling functions sel(x) (for infinite populations) or SelBurr(j,n) (Burrow's correction for finite case). These functions exist in Visual Basic Macro modules connected to this workbook and can be inspected from the Visual Basic Editor. More detail can be found in Lindgren &amp; Nilsson (1985) and Lindgren &amp; Bondeson (1990). These works could also be consulted when very high accuracy is required.</a:t>
          </a:r>
        </a:p>
      </xdr:txBody>
    </xdr:sp>
    <xdr:clientData/>
  </xdr:twoCellAnchor>
  <xdr:twoCellAnchor>
    <xdr:from>
      <xdr:col>0</xdr:col>
      <xdr:colOff>133350</xdr:colOff>
      <xdr:row>193</xdr:row>
      <xdr:rowOff>76200</xdr:rowOff>
    </xdr:from>
    <xdr:to>
      <xdr:col>9</xdr:col>
      <xdr:colOff>0</xdr:colOff>
      <xdr:row>199</xdr:row>
      <xdr:rowOff>152400</xdr:rowOff>
    </xdr:to>
    <xdr:sp>
      <xdr:nvSpPr>
        <xdr:cNvPr id="13" name="TextBox 31"/>
        <xdr:cNvSpPr txBox="1">
          <a:spLocks noChangeArrowheads="1"/>
        </xdr:cNvSpPr>
      </xdr:nvSpPr>
      <xdr:spPr>
        <a:xfrm>
          <a:off x="133350" y="33547050"/>
          <a:ext cx="535305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Progeny testing
B</a:t>
          </a:r>
          <a:r>
            <a:rPr lang="en-US" cap="none" sz="1000" b="0" i="0" u="none" baseline="0">
              <a:latin typeface="Arial"/>
              <a:ea typeface="Arial"/>
              <a:cs typeface="Arial"/>
            </a:rPr>
            <a:t>reeding values are often predicted based on progeny tests (G1 and G2 in formulas above). Progeny test is equivalent to boosting the heritibility (set it close to 1 based on the family heritability of the progeny). The "phenotypes" in the sheet can instead be considered to be "predicted breeding values" based on the progeny contrasting to the "true breeding values" of those phenotypes.</a:t>
          </a:r>
        </a:p>
      </xdr:txBody>
    </xdr:sp>
    <xdr:clientData/>
  </xdr:twoCellAnchor>
  <xdr:twoCellAnchor>
    <xdr:from>
      <xdr:col>0</xdr:col>
      <xdr:colOff>38100</xdr:colOff>
      <xdr:row>40</xdr:row>
      <xdr:rowOff>76200</xdr:rowOff>
    </xdr:from>
    <xdr:to>
      <xdr:col>9</xdr:col>
      <xdr:colOff>266700</xdr:colOff>
      <xdr:row>45</xdr:row>
      <xdr:rowOff>38100</xdr:rowOff>
    </xdr:to>
    <xdr:sp>
      <xdr:nvSpPr>
        <xdr:cNvPr id="14" name="TextBox 33"/>
        <xdr:cNvSpPr txBox="1">
          <a:spLocks noChangeArrowheads="1"/>
        </xdr:cNvSpPr>
      </xdr:nvSpPr>
      <xdr:spPr>
        <a:xfrm>
          <a:off x="38100" y="6410325"/>
          <a:ext cx="57150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What can be changed?</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Red values</a:t>
          </a:r>
          <a:r>
            <a:rPr lang="en-US" cap="none" sz="1000" b="0" i="0" u="none" baseline="0">
              <a:latin typeface="Arial"/>
              <a:ea typeface="Arial"/>
              <a:cs typeface="Arial"/>
            </a:rPr>
            <a:t> are meant for the user to change, </a:t>
          </a:r>
          <a:r>
            <a:rPr lang="en-US" cap="none" sz="1000" b="1" i="1" u="none" baseline="0">
              <a:solidFill>
                <a:srgbClr val="FF0000"/>
              </a:solidFill>
              <a:latin typeface="Arial"/>
              <a:ea typeface="Arial"/>
              <a:cs typeface="Arial"/>
            </a:rPr>
            <a:t>red values in italics </a:t>
          </a:r>
          <a:r>
            <a:rPr lang="en-US" cap="none" sz="1000" b="0" i="0" u="none" baseline="0">
              <a:latin typeface="Arial"/>
              <a:ea typeface="Arial"/>
              <a:cs typeface="Arial"/>
            </a:rPr>
            <a:t>are recommended to be kept at the initial values by the unexperienced user. </a:t>
          </a:r>
          <a:r>
            <a:rPr lang="en-US" cap="none" sz="1000" b="0" i="0" u="none" baseline="0">
              <a:solidFill>
                <a:srgbClr val="0000FF"/>
              </a:solidFill>
              <a:latin typeface="Arial"/>
              <a:ea typeface="Arial"/>
              <a:cs typeface="Arial"/>
            </a:rPr>
            <a:t>Blue values are intermediate</a:t>
          </a:r>
          <a:r>
            <a:rPr lang="en-US" cap="none" sz="1000" b="0" i="0" u="none" baseline="0">
              <a:latin typeface="Arial"/>
              <a:ea typeface="Arial"/>
              <a:cs typeface="Arial"/>
            </a:rPr>
            <a:t> or </a:t>
          </a:r>
          <a:r>
            <a:rPr lang="en-US" cap="none" sz="1000" b="1" i="0" u="none" baseline="0">
              <a:solidFill>
                <a:srgbClr val="0000FF"/>
              </a:solidFill>
              <a:latin typeface="Arial"/>
              <a:ea typeface="Arial"/>
              <a:cs typeface="Arial"/>
            </a:rPr>
            <a:t>end results</a:t>
          </a:r>
          <a:r>
            <a:rPr lang="en-US" cap="none" sz="1000" b="0" i="0" u="none" baseline="0">
              <a:latin typeface="Arial"/>
              <a:ea typeface="Arial"/>
              <a:cs typeface="Arial"/>
            </a:rPr>
            <a:t>, be careful - it destroys the function of the worksheet if they are changed.</a:t>
          </a:r>
        </a:p>
      </xdr:txBody>
    </xdr:sp>
    <xdr:clientData/>
  </xdr:twoCellAnchor>
  <xdr:twoCellAnchor>
    <xdr:from>
      <xdr:col>0</xdr:col>
      <xdr:colOff>66675</xdr:colOff>
      <xdr:row>164</xdr:row>
      <xdr:rowOff>47625</xdr:rowOff>
    </xdr:from>
    <xdr:to>
      <xdr:col>8</xdr:col>
      <xdr:colOff>438150</xdr:colOff>
      <xdr:row>177</xdr:row>
      <xdr:rowOff>114300</xdr:rowOff>
    </xdr:to>
    <xdr:sp>
      <xdr:nvSpPr>
        <xdr:cNvPr id="15" name="TextBox 34"/>
        <xdr:cNvSpPr txBox="1">
          <a:spLocks noChangeArrowheads="1"/>
        </xdr:cNvSpPr>
      </xdr:nvSpPr>
      <xdr:spPr>
        <a:xfrm>
          <a:off x="66675" y="28803600"/>
          <a:ext cx="5248275" cy="2190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(1-1/m),(1+1/m) </a:t>
          </a:r>
          <a:r>
            <a:rPr lang="en-US" cap="none" sz="1000" b="0" i="0" u="none" baseline="0">
              <a:latin typeface="Arial"/>
              <a:ea typeface="Arial"/>
              <a:cs typeface="Arial"/>
            </a:rPr>
            <a:t>
The family size is m. G3 and G4 comprise slight modifications because of the limited size of m. The variance between the actual families will be larger by a factor (1+1/m) as the families constitute a sample of individuals those average breeding value will deviate from the expected family average. This widened variance will increase the gain of the selection among families. 
This extra influence of additive variance may in [Alt 4,  family selection gain, a2] alternatively be placed more to the right, so it makes the within family variance look more logic. Compare for the cells to the right! 
The factor (1-1/m) takes care of that the gain for the within family selection are relative to the mean of the specific family (one degree of freedom is used for the estimation of the mean).</a:t>
          </a:r>
        </a:p>
      </xdr:txBody>
    </xdr:sp>
    <xdr:clientData/>
  </xdr:twoCellAnchor>
  <xdr:twoCellAnchor>
    <xdr:from>
      <xdr:col>28</xdr:col>
      <xdr:colOff>438150</xdr:colOff>
      <xdr:row>1</xdr:row>
      <xdr:rowOff>133350</xdr:rowOff>
    </xdr:from>
    <xdr:to>
      <xdr:col>38</xdr:col>
      <xdr:colOff>47625</xdr:colOff>
      <xdr:row>16</xdr:row>
      <xdr:rowOff>47625</xdr:rowOff>
    </xdr:to>
    <xdr:sp>
      <xdr:nvSpPr>
        <xdr:cNvPr id="16" name="TextBox 35"/>
        <xdr:cNvSpPr txBox="1">
          <a:spLocks noChangeArrowheads="1"/>
        </xdr:cNvSpPr>
      </xdr:nvSpPr>
      <xdr:spPr>
        <a:xfrm>
          <a:off x="17506950" y="333375"/>
          <a:ext cx="5705475" cy="2219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An alternative way of formulating some relationships</a:t>
          </a:r>
          <a:r>
            <a:rPr lang="en-US" cap="none" sz="1000" b="0" i="0" u="none" baseline="0">
              <a:latin typeface="Arial"/>
              <a:ea typeface="Arial"/>
              <a:cs typeface="Arial"/>
            </a:rPr>
            <a:t>
According to Danell 1989 (appendix to Lindgren and Werner 1989) gain can be expressed as a product of  r</a:t>
          </a:r>
          <a:r>
            <a:rPr lang="en-US" cap="none" sz="1000" b="0" i="0" u="none" baseline="-25000">
              <a:solidFill>
                <a:srgbClr val="FF0000"/>
              </a:solidFill>
              <a:latin typeface="Arial"/>
              <a:ea typeface="Arial"/>
              <a:cs typeface="Arial"/>
            </a:rPr>
            <a:t>TI</a:t>
          </a:r>
          <a:r>
            <a:rPr lang="en-US" cap="none" sz="1000" b="0" i="0" u="none" baseline="0">
              <a:latin typeface="Arial"/>
              <a:ea typeface="Arial"/>
              <a:cs typeface="Arial"/>
            </a:rPr>
            <a:t> (correlation between </a:t>
          </a:r>
          <a:r>
            <a:rPr lang="en-US" cap="none" sz="1000" b="1" i="0" u="none" baseline="0">
              <a:solidFill>
                <a:srgbClr val="FF0000"/>
              </a:solidFill>
              <a:latin typeface="Arial"/>
              <a:ea typeface="Arial"/>
              <a:cs typeface="Arial"/>
            </a:rPr>
            <a:t>T</a:t>
          </a:r>
          <a:r>
            <a:rPr lang="en-US" cap="none" sz="1000" b="0" i="0" u="none" baseline="0">
              <a:latin typeface="Arial"/>
              <a:ea typeface="Arial"/>
              <a:cs typeface="Arial"/>
            </a:rPr>
            <a:t>rue breeding value and an </a:t>
          </a:r>
          <a:r>
            <a:rPr lang="en-US" cap="none" sz="1000" b="1" i="0" u="none" baseline="0">
              <a:solidFill>
                <a:srgbClr val="FF0000"/>
              </a:solidFill>
              <a:latin typeface="Arial"/>
              <a:ea typeface="Arial"/>
              <a:cs typeface="Arial"/>
            </a:rPr>
            <a:t>I</a:t>
          </a:r>
          <a:r>
            <a:rPr lang="en-US" cap="none" sz="1000" b="0" i="0" u="none" baseline="0">
              <a:latin typeface="Arial"/>
              <a:ea typeface="Arial"/>
              <a:cs typeface="Arial"/>
            </a:rPr>
            <a:t>ndex predicting breeding value). Under simple conditions both rTI and the corresponding regression coefficient b and can be expressed in terms of the covariance between the phenotype and the breeding value divided by the variance for the phenotype. Part of the simplification is that if the measurement and the goal characters are the same, i.e. the goal is at the measurment age, then the symbol rAI may be preferred (correlation between an Index predicting breeding value and Breeding Value for that Index)
a1 generally corresponds to the covariance between measurment and breeding value, and a2 generally corresponds to the variance of the measured values. (They can be seen as the root of these expressions).
Expressions of type a1/a2 generally should correspond to rAI.</a:t>
          </a:r>
        </a:p>
      </xdr:txBody>
    </xdr:sp>
    <xdr:clientData/>
  </xdr:twoCellAnchor>
  <xdr:twoCellAnchor>
    <xdr:from>
      <xdr:col>0</xdr:col>
      <xdr:colOff>95250</xdr:colOff>
      <xdr:row>200</xdr:row>
      <xdr:rowOff>38100</xdr:rowOff>
    </xdr:from>
    <xdr:to>
      <xdr:col>9</xdr:col>
      <xdr:colOff>0</xdr:colOff>
      <xdr:row>209</xdr:row>
      <xdr:rowOff>133350</xdr:rowOff>
    </xdr:to>
    <xdr:sp>
      <xdr:nvSpPr>
        <xdr:cNvPr id="17" name="TextBox 40"/>
        <xdr:cNvSpPr txBox="1">
          <a:spLocks noChangeArrowheads="1"/>
        </xdr:cNvSpPr>
      </xdr:nvSpPr>
      <xdr:spPr>
        <a:xfrm>
          <a:off x="95250" y="34642425"/>
          <a:ext cx="5391150" cy="15525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Juvenile mature genetic correlations</a:t>
          </a:r>
          <a:r>
            <a:rPr lang="en-US" cap="none" sz="1000" b="0" i="0" u="none" baseline="0">
              <a:latin typeface="Arial"/>
              <a:ea typeface="Arial"/>
              <a:cs typeface="Arial"/>
            </a:rPr>
            <a:t>
This function is enscribed in the basic code of this workbook as a function rY(). It is essentially the formula by Lambeth (1980)
rY=1.02 + 0.308 * Log(Q)
with some adjustment for Q close to 0 or 1.
Other formulas can be inserted instead in the basic code (actually an alternative suggestion is given in the Visual Basic code module). 
Note that function rg is sometimes used synonymous to rY although it is assumed that it is a genetic correlation.</a:t>
          </a:r>
        </a:p>
      </xdr:txBody>
    </xdr:sp>
    <xdr:clientData/>
  </xdr:twoCellAnchor>
  <xdr:twoCellAnchor>
    <xdr:from>
      <xdr:col>40</xdr:col>
      <xdr:colOff>200025</xdr:colOff>
      <xdr:row>42</xdr:row>
      <xdr:rowOff>9525</xdr:rowOff>
    </xdr:from>
    <xdr:to>
      <xdr:col>49</xdr:col>
      <xdr:colOff>104775</xdr:colOff>
      <xdr:row>57</xdr:row>
      <xdr:rowOff>0</xdr:rowOff>
    </xdr:to>
    <xdr:sp>
      <xdr:nvSpPr>
        <xdr:cNvPr id="18" name="TextBox 41"/>
        <xdr:cNvSpPr txBox="1">
          <a:spLocks noChangeArrowheads="1"/>
        </xdr:cNvSpPr>
      </xdr:nvSpPr>
      <xdr:spPr>
        <a:xfrm>
          <a:off x="24584025" y="6667500"/>
          <a:ext cx="5391150" cy="24193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There are more powerful solutions</a:t>
          </a:r>
          <a:r>
            <a:rPr lang="en-US" cap="none" sz="1000" b="0" i="0" u="none" baseline="0">
              <a:latin typeface="Arial"/>
              <a:ea typeface="Arial"/>
              <a:cs typeface="Arial"/>
            </a:rPr>
            <a:t>
The "best" solutions which can be found using this worksheet are not the really most optimal ones. Some additional tools for improvement may be found on this website. It is too difficult for me and too complex for the user to get it all in one workbook even for the cases for which it would have been theoretically possible. Group merit selection (or family index selection) is more powerful than first selecting good families and when a number of good individuals within the good families, that is explained on other sheets. Linear deployment is more powerful than using the selected genotypes equally in a seed orchard. Breeding values will probably be best estimated by a mating design intermediate to SPM and polycross (e.g. two mating partners per breeding population member). The structure of genotype by environment interaction can be better considered.  It is better to deploy breeding material proportionally to how good it is than to do "truncation" decisions.</a:t>
          </a:r>
          <a:r>
            <a:rPr lang="en-US" cap="none" sz="1000" b="0" i="0" u="none" baseline="0">
              <a:solidFill>
                <a:srgbClr val="993366"/>
              </a:solidFill>
              <a:latin typeface="Arial"/>
              <a:ea typeface="Arial"/>
              <a:cs typeface="Arial"/>
            </a:rPr>
            <a:t> It is possible a correction for this will be added, based on Lindgren (1993) in Hereditas</a:t>
          </a:r>
          <a:r>
            <a:rPr lang="en-US" cap="none" sz="1000" b="0" i="0" u="none" baseline="0">
              <a:latin typeface="Arial"/>
              <a:ea typeface="Arial"/>
              <a:cs typeface="Arial"/>
            </a:rPr>
            <a:t>. The work-sheet is more for browsing among major designs, the more fine-tuned decision making usually requires additional work.</a:t>
          </a:r>
        </a:p>
      </xdr:txBody>
    </xdr:sp>
    <xdr:clientData/>
  </xdr:twoCellAnchor>
  <xdr:twoCellAnchor>
    <xdr:from>
      <xdr:col>20</xdr:col>
      <xdr:colOff>257175</xdr:colOff>
      <xdr:row>14</xdr:row>
      <xdr:rowOff>57150</xdr:rowOff>
    </xdr:from>
    <xdr:to>
      <xdr:col>23</xdr:col>
      <xdr:colOff>152400</xdr:colOff>
      <xdr:row>16</xdr:row>
      <xdr:rowOff>66675</xdr:rowOff>
    </xdr:to>
    <xdr:sp>
      <xdr:nvSpPr>
        <xdr:cNvPr id="19" name="TextBox 43"/>
        <xdr:cNvSpPr txBox="1">
          <a:spLocks noChangeArrowheads="1"/>
        </xdr:cNvSpPr>
      </xdr:nvSpPr>
      <xdr:spPr>
        <a:xfrm>
          <a:off x="12449175" y="2257425"/>
          <a:ext cx="1724025" cy="314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600" b="0" i="0" u="none" baseline="0">
              <a:solidFill>
                <a:srgbClr val="996633"/>
              </a:solidFill>
              <a:latin typeface="Arial"/>
              <a:ea typeface="Arial"/>
              <a:cs typeface="Arial"/>
            </a:rPr>
            <a:t>In construction</a:t>
          </a:r>
        </a:p>
      </xdr:txBody>
    </xdr:sp>
    <xdr:clientData/>
  </xdr:twoCellAnchor>
  <xdr:twoCellAnchor>
    <xdr:from>
      <xdr:col>0</xdr:col>
      <xdr:colOff>104775</xdr:colOff>
      <xdr:row>81</xdr:row>
      <xdr:rowOff>85725</xdr:rowOff>
    </xdr:from>
    <xdr:to>
      <xdr:col>9</xdr:col>
      <xdr:colOff>66675</xdr:colOff>
      <xdr:row>84</xdr:row>
      <xdr:rowOff>66675</xdr:rowOff>
    </xdr:to>
    <xdr:sp>
      <xdr:nvSpPr>
        <xdr:cNvPr id="20" name="TextBox 45"/>
        <xdr:cNvSpPr txBox="1">
          <a:spLocks noChangeArrowheads="1"/>
        </xdr:cNvSpPr>
      </xdr:nvSpPr>
      <xdr:spPr>
        <a:xfrm>
          <a:off x="104775" y="15401925"/>
          <a:ext cx="5448300" cy="466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Formulas to estimate progress in breeding value (=genetic gain) following selection according to alternative G1-G5</a:t>
          </a:r>
        </a:p>
      </xdr:txBody>
    </xdr:sp>
    <xdr:clientData/>
  </xdr:twoCellAnchor>
  <xdr:twoCellAnchor>
    <xdr:from>
      <xdr:col>19</xdr:col>
      <xdr:colOff>400050</xdr:colOff>
      <xdr:row>2</xdr:row>
      <xdr:rowOff>28575</xdr:rowOff>
    </xdr:from>
    <xdr:to>
      <xdr:col>25</xdr:col>
      <xdr:colOff>419100</xdr:colOff>
      <xdr:row>6</xdr:row>
      <xdr:rowOff>114300</xdr:rowOff>
    </xdr:to>
    <xdr:sp>
      <xdr:nvSpPr>
        <xdr:cNvPr id="21" name="TextBox 46"/>
        <xdr:cNvSpPr txBox="1">
          <a:spLocks noChangeArrowheads="1"/>
        </xdr:cNvSpPr>
      </xdr:nvSpPr>
      <xdr:spPr>
        <a:xfrm>
          <a:off x="11982450" y="390525"/>
          <a:ext cx="367665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solidFill>
                <a:srgbClr val="FF00FF"/>
              </a:solidFill>
              <a:latin typeface="Arial"/>
              <a:ea typeface="Arial"/>
              <a:cs typeface="Arial"/>
            </a:rPr>
            <a:t>Clonal mix formulas
</a:t>
          </a:r>
          <a:r>
            <a:rPr lang="en-US" cap="none" sz="1000" b="0" i="0" u="none" baseline="0">
              <a:latin typeface="Arial"/>
              <a:ea typeface="Arial"/>
              <a:cs typeface="Arial"/>
            </a:rPr>
            <a:t>These formulas give the gain in clonal forestry, not as the other sheet, which gives estimates of breeding values</a:t>
          </a:r>
        </a:p>
      </xdr:txBody>
    </xdr:sp>
    <xdr:clientData/>
  </xdr:twoCellAnchor>
  <xdr:oneCellAnchor>
    <xdr:from>
      <xdr:col>4</xdr:col>
      <xdr:colOff>152400</xdr:colOff>
      <xdr:row>74</xdr:row>
      <xdr:rowOff>114300</xdr:rowOff>
    </xdr:from>
    <xdr:ext cx="76200" cy="200025"/>
    <xdr:sp>
      <xdr:nvSpPr>
        <xdr:cNvPr id="22" name="TextBox 47"/>
        <xdr:cNvSpPr txBox="1">
          <a:spLocks noChangeArrowheads="1"/>
        </xdr:cNvSpPr>
      </xdr:nvSpPr>
      <xdr:spPr>
        <a:xfrm>
          <a:off x="2590800" y="14297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153</xdr:row>
      <xdr:rowOff>114300</xdr:rowOff>
    </xdr:from>
    <xdr:to>
      <xdr:col>8</xdr:col>
      <xdr:colOff>523875</xdr:colOff>
      <xdr:row>157</xdr:row>
      <xdr:rowOff>66675</xdr:rowOff>
    </xdr:to>
    <xdr:sp>
      <xdr:nvSpPr>
        <xdr:cNvPr id="23" name="TextBox 48"/>
        <xdr:cNvSpPr txBox="1">
          <a:spLocks noChangeArrowheads="1"/>
        </xdr:cNvSpPr>
      </xdr:nvSpPr>
      <xdr:spPr>
        <a:xfrm>
          <a:off x="9525" y="27089100"/>
          <a:ext cx="53911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FF"/>
              </a:solidFill>
              <a:latin typeface="Arial"/>
              <a:ea typeface="Arial"/>
              <a:cs typeface="Arial"/>
            </a:rPr>
            <a:t>Warning!</a:t>
          </a:r>
          <a:r>
            <a:rPr lang="en-US" cap="none" sz="1000" b="0" i="0" u="none" baseline="0">
              <a:latin typeface="Arial"/>
              <a:ea typeface="Arial"/>
              <a:cs typeface="Arial"/>
            </a:rPr>
            <a:t>
There may be mistakes in this version of the workbook! It has happened many times before! Do not hesitate to consult Dag.Lindgren@genfys.slu.se if you suspect a mistake.</a:t>
          </a:r>
        </a:p>
      </xdr:txBody>
    </xdr:sp>
    <xdr:clientData/>
  </xdr:twoCellAnchor>
  <xdr:twoCellAnchor>
    <xdr:from>
      <xdr:col>0</xdr:col>
      <xdr:colOff>66675</xdr:colOff>
      <xdr:row>235</xdr:row>
      <xdr:rowOff>66675</xdr:rowOff>
    </xdr:from>
    <xdr:to>
      <xdr:col>8</xdr:col>
      <xdr:colOff>485775</xdr:colOff>
      <xdr:row>241</xdr:row>
      <xdr:rowOff>38100</xdr:rowOff>
    </xdr:to>
    <xdr:sp>
      <xdr:nvSpPr>
        <xdr:cNvPr id="24" name="TextBox 50"/>
        <xdr:cNvSpPr txBox="1">
          <a:spLocks noChangeArrowheads="1"/>
        </xdr:cNvSpPr>
      </xdr:nvSpPr>
      <xdr:spPr>
        <a:xfrm>
          <a:off x="66675" y="40338375"/>
          <a:ext cx="5295900" cy="9429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Acknowledgement</a:t>
          </a:r>
          <a:r>
            <a:rPr lang="en-US" cap="none" sz="1000" b="0" i="0" u="none" baseline="0">
              <a:latin typeface="Arial"/>
              <a:ea typeface="Arial"/>
              <a:cs typeface="Arial"/>
            </a:rPr>
            <a:t>
I am deeply indebted to a number of people who have commented on this workbook and focused my intention on different problems. I mention Ola Rosvall, Milan Lstiburek, Jianguo Cui and Darius Danusevicius, but many more have contributed valuable advice. 
</a:t>
          </a:r>
        </a:p>
      </xdr:txBody>
    </xdr:sp>
    <xdr:clientData/>
  </xdr:twoCellAnchor>
  <xdr:twoCellAnchor>
    <xdr:from>
      <xdr:col>0</xdr:col>
      <xdr:colOff>0</xdr:colOff>
      <xdr:row>0</xdr:row>
      <xdr:rowOff>76200</xdr:rowOff>
    </xdr:from>
    <xdr:to>
      <xdr:col>0</xdr:col>
      <xdr:colOff>285750</xdr:colOff>
      <xdr:row>1</xdr:row>
      <xdr:rowOff>114300</xdr:rowOff>
    </xdr:to>
    <xdr:sp>
      <xdr:nvSpPr>
        <xdr:cNvPr id="25" name="TextBox 52"/>
        <xdr:cNvSpPr txBox="1">
          <a:spLocks noChangeArrowheads="1"/>
        </xdr:cNvSpPr>
      </xdr:nvSpPr>
      <xdr:spPr>
        <a:xfrm>
          <a:off x="0" y="76200"/>
          <a:ext cx="285750" cy="23812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1</a:t>
          </a:r>
        </a:p>
      </xdr:txBody>
    </xdr:sp>
    <xdr:clientData/>
  </xdr:twoCellAnchor>
  <xdr:twoCellAnchor>
    <xdr:from>
      <xdr:col>0</xdr:col>
      <xdr:colOff>57150</xdr:colOff>
      <xdr:row>1</xdr:row>
      <xdr:rowOff>114300</xdr:rowOff>
    </xdr:from>
    <xdr:to>
      <xdr:col>0</xdr:col>
      <xdr:colOff>57150</xdr:colOff>
      <xdr:row>3</xdr:row>
      <xdr:rowOff>0</xdr:rowOff>
    </xdr:to>
    <xdr:sp>
      <xdr:nvSpPr>
        <xdr:cNvPr id="26" name="Line 53"/>
        <xdr:cNvSpPr>
          <a:spLocks/>
        </xdr:cNvSpPr>
      </xdr:nvSpPr>
      <xdr:spPr>
        <a:xfrm>
          <a:off x="57150" y="3143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151</xdr:row>
      <xdr:rowOff>57150</xdr:rowOff>
    </xdr:from>
    <xdr:to>
      <xdr:col>4</xdr:col>
      <xdr:colOff>590550</xdr:colOff>
      <xdr:row>152</xdr:row>
      <xdr:rowOff>123825</xdr:rowOff>
    </xdr:to>
    <xdr:sp>
      <xdr:nvSpPr>
        <xdr:cNvPr id="27" name="TextBox 54"/>
        <xdr:cNvSpPr txBox="1">
          <a:spLocks noChangeArrowheads="1"/>
        </xdr:cNvSpPr>
      </xdr:nvSpPr>
      <xdr:spPr>
        <a:xfrm>
          <a:off x="1028700" y="26708100"/>
          <a:ext cx="2000250" cy="2286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400" b="0" i="0" u="none" baseline="0">
              <a:solidFill>
                <a:srgbClr val="339933"/>
              </a:solidFill>
              <a:latin typeface="Arial"/>
              <a:ea typeface="Arial"/>
              <a:cs typeface="Arial"/>
            </a:rPr>
            <a:t>Additional comments</a:t>
          </a:r>
        </a:p>
      </xdr:txBody>
    </xdr:sp>
    <xdr:clientData/>
  </xdr:twoCellAnchor>
  <xdr:twoCellAnchor>
    <xdr:from>
      <xdr:col>0</xdr:col>
      <xdr:colOff>76200</xdr:colOff>
      <xdr:row>221</xdr:row>
      <xdr:rowOff>114300</xdr:rowOff>
    </xdr:from>
    <xdr:to>
      <xdr:col>8</xdr:col>
      <xdr:colOff>514350</xdr:colOff>
      <xdr:row>230</xdr:row>
      <xdr:rowOff>85725</xdr:rowOff>
    </xdr:to>
    <xdr:sp>
      <xdr:nvSpPr>
        <xdr:cNvPr id="28" name="TextBox 55"/>
        <xdr:cNvSpPr txBox="1">
          <a:spLocks noChangeArrowheads="1"/>
        </xdr:cNvSpPr>
      </xdr:nvSpPr>
      <xdr:spPr>
        <a:xfrm>
          <a:off x="76200" y="38119050"/>
          <a:ext cx="5314950" cy="14287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Tandem selection</a:t>
          </a:r>
          <a:r>
            <a:rPr lang="en-US" cap="none" sz="1000" b="0" i="0" u="none" baseline="0">
              <a:solidFill>
                <a:srgbClr val="FF00FF"/>
              </a:solidFill>
              <a:latin typeface="Arial"/>
              <a:ea typeface="Arial"/>
              <a:cs typeface="Arial"/>
            </a:rPr>
            <a:t>
</a:t>
          </a:r>
          <a:r>
            <a:rPr lang="en-US" cap="none" sz="1000" b="0" i="0" u="none" baseline="0">
              <a:latin typeface="Arial"/>
              <a:ea typeface="Arial"/>
              <a:cs typeface="Arial"/>
            </a:rPr>
            <a:t>A common practice is to make to selections in tandem. The first step can be to make a phenotypic preselection and the second step to test preselected individual further by clonal or progeny testing and thereby do something which is equivalent to increasing heritability. The considerations to the left are meant to help to analyse the effect of such a praxis. The two round of selections are assumed to be for the same character.
Part of the mathematics used assume large populations, but it does not seem likely that this will cause large errors for small populations.</a:t>
          </a:r>
        </a:p>
      </xdr:txBody>
    </xdr:sp>
    <xdr:clientData/>
  </xdr:twoCellAnchor>
  <xdr:twoCellAnchor>
    <xdr:from>
      <xdr:col>0</xdr:col>
      <xdr:colOff>85725</xdr:colOff>
      <xdr:row>230</xdr:row>
      <xdr:rowOff>133350</xdr:rowOff>
    </xdr:from>
    <xdr:to>
      <xdr:col>8</xdr:col>
      <xdr:colOff>504825</xdr:colOff>
      <xdr:row>235</xdr:row>
      <xdr:rowOff>9525</xdr:rowOff>
    </xdr:to>
    <xdr:sp>
      <xdr:nvSpPr>
        <xdr:cNvPr id="29" name="TextBox 56"/>
        <xdr:cNvSpPr txBox="1">
          <a:spLocks noChangeArrowheads="1"/>
        </xdr:cNvSpPr>
      </xdr:nvSpPr>
      <xdr:spPr>
        <a:xfrm>
          <a:off x="85725" y="39595425"/>
          <a:ext cx="5295900" cy="685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Training</a:t>
          </a:r>
          <a:r>
            <a:rPr lang="en-US" cap="none" sz="1000" b="0" i="0" u="none" baseline="0">
              <a:latin typeface="Arial"/>
              <a:ea typeface="Arial"/>
              <a:cs typeface="Arial"/>
            </a:rPr>
            <a:t>
Some problems which may help you understand how this workbook functions are constructed and available from my website. There you can also find Lstibureks examination work, which mainly is an application of this worksheet</a:t>
          </a:r>
        </a:p>
      </xdr:txBody>
    </xdr:sp>
    <xdr:clientData/>
  </xdr:twoCellAnchor>
  <xdr:twoCellAnchor>
    <xdr:from>
      <xdr:col>9</xdr:col>
      <xdr:colOff>333375</xdr:colOff>
      <xdr:row>0</xdr:row>
      <xdr:rowOff>47625</xdr:rowOff>
    </xdr:from>
    <xdr:to>
      <xdr:col>10</xdr:col>
      <xdr:colOff>0</xdr:colOff>
      <xdr:row>2</xdr:row>
      <xdr:rowOff>142875</xdr:rowOff>
    </xdr:to>
    <xdr:grpSp>
      <xdr:nvGrpSpPr>
        <xdr:cNvPr id="30" name="Group 57"/>
        <xdr:cNvGrpSpPr>
          <a:grpSpLocks/>
        </xdr:cNvGrpSpPr>
      </xdr:nvGrpSpPr>
      <xdr:grpSpPr>
        <a:xfrm>
          <a:off x="5819775" y="47625"/>
          <a:ext cx="276225" cy="457200"/>
          <a:chOff x="761" y="0"/>
          <a:chExt cx="37" cy="62"/>
        </a:xfrm>
        <a:solidFill>
          <a:srgbClr val="FFFFFF"/>
        </a:solidFill>
      </xdr:grpSpPr>
      <xdr:sp>
        <xdr:nvSpPr>
          <xdr:cNvPr id="31" name="TextBox 58"/>
          <xdr:cNvSpPr txBox="1">
            <a:spLocks noChangeArrowheads="1"/>
          </xdr:cNvSpPr>
        </xdr:nvSpPr>
        <xdr:spPr>
          <a:xfrm>
            <a:off x="761" y="0"/>
            <a:ext cx="37" cy="31"/>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2</a:t>
            </a:r>
          </a:p>
        </xdr:txBody>
      </xdr:sp>
      <xdr:sp>
        <xdr:nvSpPr>
          <xdr:cNvPr id="32" name="Line 59"/>
          <xdr:cNvSpPr>
            <a:spLocks/>
          </xdr:cNvSpPr>
        </xdr:nvSpPr>
        <xdr:spPr>
          <a:xfrm>
            <a:off x="779" y="33"/>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29</xdr:col>
      <xdr:colOff>76200</xdr:colOff>
      <xdr:row>0</xdr:row>
      <xdr:rowOff>9525</xdr:rowOff>
    </xdr:from>
    <xdr:to>
      <xdr:col>29</xdr:col>
      <xdr:colOff>361950</xdr:colOff>
      <xdr:row>2</xdr:row>
      <xdr:rowOff>76200</xdr:rowOff>
    </xdr:to>
    <xdr:grpSp>
      <xdr:nvGrpSpPr>
        <xdr:cNvPr id="33" name="Group 73"/>
        <xdr:cNvGrpSpPr>
          <a:grpSpLocks/>
        </xdr:cNvGrpSpPr>
      </xdr:nvGrpSpPr>
      <xdr:grpSpPr>
        <a:xfrm>
          <a:off x="17754600" y="9525"/>
          <a:ext cx="285750" cy="428625"/>
          <a:chOff x="1864" y="1"/>
          <a:chExt cx="30" cy="45"/>
        </a:xfrm>
        <a:solidFill>
          <a:srgbClr val="FFFFFF"/>
        </a:solidFill>
      </xdr:grpSpPr>
      <xdr:sp>
        <xdr:nvSpPr>
          <xdr:cNvPr id="34" name="TextBox 64"/>
          <xdr:cNvSpPr txBox="1">
            <a:spLocks noChangeArrowheads="1"/>
          </xdr:cNvSpPr>
        </xdr:nvSpPr>
        <xdr:spPr>
          <a:xfrm>
            <a:off x="1864" y="1"/>
            <a:ext cx="30" cy="24"/>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4</a:t>
            </a:r>
          </a:p>
        </xdr:txBody>
      </xdr:sp>
      <xdr:sp>
        <xdr:nvSpPr>
          <xdr:cNvPr id="35" name="Line 65"/>
          <xdr:cNvSpPr>
            <a:spLocks/>
          </xdr:cNvSpPr>
        </xdr:nvSpPr>
        <xdr:spPr>
          <a:xfrm>
            <a:off x="1880" y="24"/>
            <a:ext cx="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66675</xdr:colOff>
      <xdr:row>0</xdr:row>
      <xdr:rowOff>0</xdr:rowOff>
    </xdr:from>
    <xdr:to>
      <xdr:col>18</xdr:col>
      <xdr:colOff>352425</xdr:colOff>
      <xdr:row>2</xdr:row>
      <xdr:rowOff>66675</xdr:rowOff>
    </xdr:to>
    <xdr:grpSp>
      <xdr:nvGrpSpPr>
        <xdr:cNvPr id="36" name="Group 69"/>
        <xdr:cNvGrpSpPr>
          <a:grpSpLocks/>
        </xdr:cNvGrpSpPr>
      </xdr:nvGrpSpPr>
      <xdr:grpSpPr>
        <a:xfrm>
          <a:off x="11039475" y="0"/>
          <a:ext cx="285750" cy="428625"/>
          <a:chOff x="1569" y="0"/>
          <a:chExt cx="37" cy="58"/>
        </a:xfrm>
        <a:solidFill>
          <a:srgbClr val="FFFFFF"/>
        </a:solidFill>
      </xdr:grpSpPr>
      <xdr:sp>
        <xdr:nvSpPr>
          <xdr:cNvPr id="37" name="TextBox 70"/>
          <xdr:cNvSpPr txBox="1">
            <a:spLocks noChangeArrowheads="1"/>
          </xdr:cNvSpPr>
        </xdr:nvSpPr>
        <xdr:spPr>
          <a:xfrm>
            <a:off x="1569" y="0"/>
            <a:ext cx="37" cy="31"/>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3</a:t>
            </a:r>
          </a:p>
        </xdr:txBody>
      </xdr:sp>
      <xdr:sp>
        <xdr:nvSpPr>
          <xdr:cNvPr id="38" name="Line 71"/>
          <xdr:cNvSpPr>
            <a:spLocks/>
          </xdr:cNvSpPr>
        </xdr:nvSpPr>
        <xdr:spPr>
          <a:xfrm>
            <a:off x="1589" y="29"/>
            <a:ext cx="0"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85725</xdr:colOff>
      <xdr:row>1</xdr:row>
      <xdr:rowOff>66675</xdr:rowOff>
    </xdr:from>
    <xdr:to>
      <xdr:col>48</xdr:col>
      <xdr:colOff>0</xdr:colOff>
      <xdr:row>14</xdr:row>
      <xdr:rowOff>104775</xdr:rowOff>
    </xdr:to>
    <xdr:sp>
      <xdr:nvSpPr>
        <xdr:cNvPr id="39" name="TextBox 72"/>
        <xdr:cNvSpPr txBox="1">
          <a:spLocks noChangeArrowheads="1"/>
        </xdr:cNvSpPr>
      </xdr:nvSpPr>
      <xdr:spPr>
        <a:xfrm>
          <a:off x="23860125" y="266700"/>
          <a:ext cx="5400675" cy="20383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Comments on possible future work
1. I will sometime when I feel mature with this complicated sheet make a simpler version by removing most features.
2. The economical factors could be somewhat more complicated. E.g. it nay be justified to make them depending on time (an old experimental tree costs more than a younger).
3. Better and more custom-realted juvenile-mature correlations
4. I could add a "correction for combined index" ("non truncation")
5. The clonal mix could be expanded for more options
6. Examples may be given
7. I may insert "several crosses"
8. More final seed orchard related stuff
</a:t>
          </a:r>
        </a:p>
      </xdr:txBody>
    </xdr:sp>
    <xdr:clientData/>
  </xdr:twoCellAnchor>
  <xdr:twoCellAnchor>
    <xdr:from>
      <xdr:col>38</xdr:col>
      <xdr:colOff>76200</xdr:colOff>
      <xdr:row>0</xdr:row>
      <xdr:rowOff>9525</xdr:rowOff>
    </xdr:from>
    <xdr:to>
      <xdr:col>38</xdr:col>
      <xdr:colOff>361950</xdr:colOff>
      <xdr:row>1</xdr:row>
      <xdr:rowOff>38100</xdr:rowOff>
    </xdr:to>
    <xdr:sp>
      <xdr:nvSpPr>
        <xdr:cNvPr id="40" name="TextBox 75"/>
        <xdr:cNvSpPr txBox="1">
          <a:spLocks noChangeArrowheads="1"/>
        </xdr:cNvSpPr>
      </xdr:nvSpPr>
      <xdr:spPr>
        <a:xfrm>
          <a:off x="23241000" y="9525"/>
          <a:ext cx="285750" cy="2286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5</a:t>
          </a:r>
        </a:p>
      </xdr:txBody>
    </xdr:sp>
    <xdr:clientData/>
  </xdr:twoCellAnchor>
  <xdr:twoCellAnchor>
    <xdr:from>
      <xdr:col>38</xdr:col>
      <xdr:colOff>228600</xdr:colOff>
      <xdr:row>1</xdr:row>
      <xdr:rowOff>28575</xdr:rowOff>
    </xdr:from>
    <xdr:to>
      <xdr:col>38</xdr:col>
      <xdr:colOff>228600</xdr:colOff>
      <xdr:row>2</xdr:row>
      <xdr:rowOff>76200</xdr:rowOff>
    </xdr:to>
    <xdr:sp>
      <xdr:nvSpPr>
        <xdr:cNvPr id="41" name="Line 76"/>
        <xdr:cNvSpPr>
          <a:spLocks/>
        </xdr:cNvSpPr>
      </xdr:nvSpPr>
      <xdr:spPr>
        <a:xfrm>
          <a:off x="23393400" y="2286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114300</xdr:colOff>
      <xdr:row>15</xdr:row>
      <xdr:rowOff>114300</xdr:rowOff>
    </xdr:from>
    <xdr:to>
      <xdr:col>47</xdr:col>
      <xdr:colOff>28575</xdr:colOff>
      <xdr:row>19</xdr:row>
      <xdr:rowOff>114300</xdr:rowOff>
    </xdr:to>
    <xdr:sp>
      <xdr:nvSpPr>
        <xdr:cNvPr id="42" name="TextBox 77"/>
        <xdr:cNvSpPr txBox="1">
          <a:spLocks noChangeArrowheads="1"/>
        </xdr:cNvSpPr>
      </xdr:nvSpPr>
      <xdr:spPr>
        <a:xfrm>
          <a:off x="23279100" y="2466975"/>
          <a:ext cx="5400675" cy="6096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"combined index" ("non truncation") it will be different for different alternatives. For alt 2 and 4 Rosvall and Andersson (1999) may be helpful saying heritability is the most important. Lindgren (1991,1993) indicates selection intensity is the important factor. </a:t>
          </a:r>
        </a:p>
      </xdr:txBody>
    </xdr:sp>
    <xdr:clientData/>
  </xdr:twoCellAnchor>
  <xdr:twoCellAnchor>
    <xdr:from>
      <xdr:col>0</xdr:col>
      <xdr:colOff>95250</xdr:colOff>
      <xdr:row>8</xdr:row>
      <xdr:rowOff>38100</xdr:rowOff>
    </xdr:from>
    <xdr:to>
      <xdr:col>9</xdr:col>
      <xdr:colOff>133350</xdr:colOff>
      <xdr:row>26</xdr:row>
      <xdr:rowOff>152400</xdr:rowOff>
    </xdr:to>
    <xdr:sp>
      <xdr:nvSpPr>
        <xdr:cNvPr id="43" name="TextBox 84"/>
        <xdr:cNvSpPr txBox="1">
          <a:spLocks noChangeArrowheads="1"/>
        </xdr:cNvSpPr>
      </xdr:nvSpPr>
      <xdr:spPr>
        <a:xfrm>
          <a:off x="95250" y="1323975"/>
          <a:ext cx="5524500" cy="29051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Contents</a:t>
          </a:r>
          <a:r>
            <a:rPr lang="en-US" cap="none" sz="1000" b="0" i="0" u="none" baseline="0">
              <a:latin typeface="Arial"/>
              <a:ea typeface="Arial"/>
              <a:cs typeface="Arial"/>
            </a:rPr>
            <a:t>
This "Explanations" sheet contains information both veritical and horisontal. Horisontally there are 5 columns
1. Verbal explanations and formulas
2. Designations
3. Clonal mix extension
4. Alternative way to express formulas
5. Possible expensions and more powerful solutions
The different sheets are:
</a:t>
          </a:r>
          <a:r>
            <a:rPr lang="en-US" cap="none" sz="1000" b="1" i="0" u="none" baseline="0">
              <a:latin typeface="Arial"/>
              <a:ea typeface="Arial"/>
              <a:cs typeface="Arial"/>
            </a:rPr>
            <a:t>Explanation of Alternatives</a:t>
          </a:r>
          <a:r>
            <a:rPr lang="en-US" cap="none" sz="1000" b="0" i="0" u="none" baseline="0">
              <a:latin typeface="Arial"/>
              <a:ea typeface="Arial"/>
              <a:cs typeface="Arial"/>
            </a:rPr>
            <a:t>
The five breeding strategies are explained
</a:t>
          </a:r>
          <a:r>
            <a:rPr lang="en-US" cap="none" sz="1000" b="1" i="0" u="none" baseline="0">
              <a:latin typeface="Arial"/>
              <a:ea typeface="Arial"/>
              <a:cs typeface="Arial"/>
            </a:rPr>
            <a:t>Outdated main</a:t>
          </a:r>
          <a:r>
            <a:rPr lang="en-US" cap="none" sz="1000" b="0" i="0" u="none" baseline="0">
              <a:latin typeface="Arial"/>
              <a:ea typeface="Arial"/>
              <a:cs typeface="Arial"/>
            </a:rPr>
            <a:t>
Main sheet and calculations, mainly as they were year 2000
</a:t>
          </a:r>
          <a:r>
            <a:rPr lang="en-US" cap="none" sz="1000" b="1" i="0" u="none" baseline="0">
              <a:latin typeface="Arial"/>
              <a:ea typeface="Arial"/>
              <a:cs typeface="Arial"/>
            </a:rPr>
            <a:t>Main</a:t>
          </a:r>
          <a:r>
            <a:rPr lang="en-US" cap="none" sz="1000" b="0" i="0" u="none" baseline="0">
              <a:latin typeface="Arial"/>
              <a:ea typeface="Arial"/>
              <a:cs typeface="Arial"/>
            </a:rPr>
            <a:t>
Main sheet and calculations
</a:t>
          </a:r>
          <a:r>
            <a:rPr lang="en-US" cap="none" sz="1000" b="1" i="0" u="none" baseline="0">
              <a:latin typeface="Arial"/>
              <a:ea typeface="Arial"/>
              <a:cs typeface="Arial"/>
            </a:rPr>
            <a:t>Gain pred ClonalMix</a:t>
          </a:r>
          <a:r>
            <a:rPr lang="en-US" cap="none" sz="1000" b="0" i="0" u="none" baseline="0">
              <a:latin typeface="Arial"/>
              <a:ea typeface="Arial"/>
              <a:cs typeface="Arial"/>
            </a:rPr>
            <a:t>
Extension for clonal mixes, in prep
</a:t>
          </a:r>
          <a:r>
            <a:rPr lang="en-US" cap="none" sz="1000" b="1" i="0" u="none" baseline="0">
              <a:latin typeface="Arial"/>
              <a:ea typeface="Arial"/>
              <a:cs typeface="Arial"/>
            </a:rPr>
            <a:t/>
          </a:r>
        </a:p>
      </xdr:txBody>
    </xdr:sp>
    <xdr:clientData/>
  </xdr:twoCellAnchor>
  <xdr:twoCellAnchor>
    <xdr:from>
      <xdr:col>49</xdr:col>
      <xdr:colOff>571500</xdr:colOff>
      <xdr:row>2</xdr:row>
      <xdr:rowOff>0</xdr:rowOff>
    </xdr:from>
    <xdr:to>
      <xdr:col>59</xdr:col>
      <xdr:colOff>180975</xdr:colOff>
      <xdr:row>25</xdr:row>
      <xdr:rowOff>142875</xdr:rowOff>
    </xdr:to>
    <xdr:sp>
      <xdr:nvSpPr>
        <xdr:cNvPr id="44" name="TextBox 86"/>
        <xdr:cNvSpPr txBox="1">
          <a:spLocks noChangeArrowheads="1"/>
        </xdr:cNvSpPr>
      </xdr:nvSpPr>
      <xdr:spPr>
        <a:xfrm>
          <a:off x="30441900" y="361950"/>
          <a:ext cx="5705475" cy="36861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Parameter values</a:t>
          </a:r>
          <a:r>
            <a:rPr lang="en-US" cap="none" sz="1000" b="0" i="0" u="none" baseline="0">
              <a:latin typeface="Arial"/>
              <a:ea typeface="Arial"/>
              <a:cs typeface="Arial"/>
            </a:rPr>
            <a:t>
You may ask what values to insert on different parameters.
Many values found are guided by the Swedish Breeding Pogramme</a:t>
          </a:r>
        </a:p>
      </xdr:txBody>
    </xdr:sp>
    <xdr:clientData/>
  </xdr:twoCellAnchor>
  <xdr:twoCellAnchor>
    <xdr:from>
      <xdr:col>38</xdr:col>
      <xdr:colOff>180975</xdr:colOff>
      <xdr:row>23</xdr:row>
      <xdr:rowOff>9525</xdr:rowOff>
    </xdr:from>
    <xdr:to>
      <xdr:col>48</xdr:col>
      <xdr:colOff>447675</xdr:colOff>
      <xdr:row>41</xdr:row>
      <xdr:rowOff>0</xdr:rowOff>
    </xdr:to>
    <xdr:sp>
      <xdr:nvSpPr>
        <xdr:cNvPr id="45" name="TextBox 88"/>
        <xdr:cNvSpPr txBox="1">
          <a:spLocks noChangeArrowheads="1"/>
        </xdr:cNvSpPr>
      </xdr:nvSpPr>
      <xdr:spPr>
        <a:xfrm>
          <a:off x="23345775" y="3581400"/>
          <a:ext cx="6362700" cy="29146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00FF00"/>
              </a:solidFill>
              <a:latin typeface="Arial"/>
              <a:ea typeface="Arial"/>
              <a:cs typeface="Arial"/>
            </a:rPr>
            <a:t>Development Dag Lindgren 02-10-09</a:t>
          </a:r>
          <a:r>
            <a:rPr lang="en-US" cap="none" sz="1200" b="1" i="0" u="none" baseline="0">
              <a:solidFill>
                <a:srgbClr val="FF00FF"/>
              </a:solidFill>
              <a:latin typeface="Arial"/>
              <a:ea typeface="Arial"/>
              <a:cs typeface="Arial"/>
            </a:rPr>
            <a:t>
Juvenile mature genetic correlations</a:t>
          </a:r>
          <a:r>
            <a:rPr lang="en-US" cap="none" sz="1000" b="0" i="0" u="none" baseline="0">
              <a:latin typeface="Arial"/>
              <a:ea typeface="Arial"/>
              <a:cs typeface="Arial"/>
            </a:rPr>
            <a:t>
This function is enscribed in the basic code of this workbook as a function rY(). It is essentially the formula by Lambeth (1980)
rY=1.02 + 0.308 * Log(Q)
with some adjustment for Q close to 0 or 1.
Other formulas can be inserted instead in the basic code (actually an alternative suggestion is given in the Visual Basic code module). 
Note that function rg is sometimes used synonymous to rY although it is assumed that it is a genetic correlation.
Lambeth (1980) was developed based on phenotypic correlation of height in Pinaceae, and tends to underestimate the age-age genetic correlation (Riemenschneider 1988, Hodge and White 1992, Xie and Ying 1996). 
Xie and Yanchuck (2002) suggest for interior spruce 1.09+0.355*
Lambeth and Dill (2001) suggests a quadratic term
rY=1.02 - 0.098 * Log(Q)^2
Even Gwase et al (2000) have suggested other functions.
This is considered in the workbook "Breeding cycler"</a:t>
          </a:r>
        </a:p>
      </xdr:txBody>
    </xdr:sp>
    <xdr:clientData/>
  </xdr:twoCellAnchor>
  <xdr:twoCellAnchor>
    <xdr:from>
      <xdr:col>0</xdr:col>
      <xdr:colOff>76200</xdr:colOff>
      <xdr:row>179</xdr:row>
      <xdr:rowOff>114300</xdr:rowOff>
    </xdr:from>
    <xdr:to>
      <xdr:col>8</xdr:col>
      <xdr:colOff>419100</xdr:colOff>
      <xdr:row>191</xdr:row>
      <xdr:rowOff>0</xdr:rowOff>
    </xdr:to>
    <xdr:sp>
      <xdr:nvSpPr>
        <xdr:cNvPr id="46" name="TextBox 89"/>
        <xdr:cNvSpPr txBox="1">
          <a:spLocks noChangeArrowheads="1"/>
        </xdr:cNvSpPr>
      </xdr:nvSpPr>
      <xdr:spPr>
        <a:xfrm>
          <a:off x="76200" y="31318200"/>
          <a:ext cx="5219700" cy="1828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Earlier mistakes</a:t>
          </a:r>
          <a:r>
            <a:rPr lang="en-US" cap="none" sz="1000" b="0" i="0" u="none" baseline="0">
              <a:latin typeface="Arial"/>
              <a:ea typeface="Arial"/>
              <a:cs typeface="Arial"/>
            </a:rPr>
            <a:t>
Year 2000 and 2001 Changes in the worksheet which affect the results were done in October 2002. Some results earlier may be misleading.
The changes are as follows
Alternative 3, adjustment for unimproved fathers
 S31:T38 (in an earlier coding) were corrected 
L38 become 1 instead of 0.1 as it is relative to mature variation and not absolute
In all alternatives the figure and the age dependence was not based on selection intensity. This means changes in S19; S28; S38; S50; S61.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8</xdr:col>
      <xdr:colOff>600075</xdr:colOff>
      <xdr:row>11</xdr:row>
      <xdr:rowOff>47625</xdr:rowOff>
    </xdr:to>
    <xdr:sp>
      <xdr:nvSpPr>
        <xdr:cNvPr id="1" name="TextBox 1"/>
        <xdr:cNvSpPr txBox="1">
          <a:spLocks noChangeArrowheads="1"/>
        </xdr:cNvSpPr>
      </xdr:nvSpPr>
      <xdr:spPr>
        <a:xfrm>
          <a:off x="266700" y="57150"/>
          <a:ext cx="5210175" cy="17716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breeding strategies</a:t>
          </a:r>
          <a:r>
            <a:rPr lang="en-US" cap="none" sz="1000" b="0" i="0" u="none" baseline="0">
              <a:latin typeface="Arial"/>
              <a:ea typeface="Arial"/>
              <a:cs typeface="Arial"/>
            </a:rPr>
            <a:t>
Gainpred considers 5 alternatives. It was initially written to consider different alternatives to establish seed orchards, however it is generally useful for comparing short time breeding strategies The visualised result in a Gain Pred Seed Orchard is expressed as average breeding value of the genotypes in a hyptothetical seed orchard. Some calculations for a clonal mix are found in the worksheet.Gain pred Clonal Mix.
All alternatives are initiated by a selection of founders, typically selection of plus trees in the forest. The gain of the founders is regarded as 0.
Differences between alternatives in costs or timing can be quantitatively evaluated.</a:t>
          </a:r>
        </a:p>
      </xdr:txBody>
    </xdr:sp>
    <xdr:clientData/>
  </xdr:twoCellAnchor>
  <xdr:twoCellAnchor>
    <xdr:from>
      <xdr:col>0</xdr:col>
      <xdr:colOff>209550</xdr:colOff>
      <xdr:row>12</xdr:row>
      <xdr:rowOff>76200</xdr:rowOff>
    </xdr:from>
    <xdr:to>
      <xdr:col>8</xdr:col>
      <xdr:colOff>590550</xdr:colOff>
      <xdr:row>18</xdr:row>
      <xdr:rowOff>28575</xdr:rowOff>
    </xdr:to>
    <xdr:sp>
      <xdr:nvSpPr>
        <xdr:cNvPr id="2" name="TextBox 2"/>
        <xdr:cNvSpPr txBox="1">
          <a:spLocks noChangeArrowheads="1"/>
        </xdr:cNvSpPr>
      </xdr:nvSpPr>
      <xdr:spPr>
        <a:xfrm>
          <a:off x="209550" y="2019300"/>
          <a:ext cx="5257800" cy="9239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1</a:t>
          </a:r>
          <a:r>
            <a:rPr lang="en-US" cap="none" sz="1000" b="0" i="0" u="none" baseline="0">
              <a:latin typeface="Arial"/>
              <a:ea typeface="Arial"/>
              <a:cs typeface="Arial"/>
            </a:rPr>
            <a:t>
Parental testing, evaluation of parents based on the performance of their progeny, "progeny-test". This can be done e.g. by wind-pollination in the forest or polycross in a clonal archieve. The parents are ranked based on the performance of the progeny.</a:t>
          </a:r>
        </a:p>
      </xdr:txBody>
    </xdr:sp>
    <xdr:clientData/>
  </xdr:twoCellAnchor>
  <xdr:twoCellAnchor>
    <xdr:from>
      <xdr:col>0</xdr:col>
      <xdr:colOff>247650</xdr:colOff>
      <xdr:row>33</xdr:row>
      <xdr:rowOff>38100</xdr:rowOff>
    </xdr:from>
    <xdr:to>
      <xdr:col>8</xdr:col>
      <xdr:colOff>590550</xdr:colOff>
      <xdr:row>40</xdr:row>
      <xdr:rowOff>142875</xdr:rowOff>
    </xdr:to>
    <xdr:sp>
      <xdr:nvSpPr>
        <xdr:cNvPr id="3" name="TextBox 3"/>
        <xdr:cNvSpPr txBox="1">
          <a:spLocks noChangeArrowheads="1"/>
        </xdr:cNvSpPr>
      </xdr:nvSpPr>
      <xdr:spPr>
        <a:xfrm>
          <a:off x="247650" y="5381625"/>
          <a:ext cx="5219700" cy="12382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4</a:t>
          </a:r>
          <a:r>
            <a:rPr lang="en-US" cap="none" sz="1000" b="0" i="0" u="none" baseline="0">
              <a:latin typeface="Arial"/>
              <a:ea typeface="Arial"/>
              <a:cs typeface="Arial"/>
            </a:rPr>
            <a:t>
The founders are crossed pairwise (single pair mating). The offspring is tested. The option exists to clone the offspring (choose n&gt;1) before testing. The test is evaluated and genotypes are selected. First the top ranking families are identified, and when the top ranking genotypes within these families are selected.</a:t>
          </a:r>
        </a:p>
      </xdr:txBody>
    </xdr:sp>
    <xdr:clientData/>
  </xdr:twoCellAnchor>
  <xdr:twoCellAnchor>
    <xdr:from>
      <xdr:col>0</xdr:col>
      <xdr:colOff>219075</xdr:colOff>
      <xdr:row>42</xdr:row>
      <xdr:rowOff>28575</xdr:rowOff>
    </xdr:from>
    <xdr:to>
      <xdr:col>8</xdr:col>
      <xdr:colOff>581025</xdr:colOff>
      <xdr:row>46</xdr:row>
      <xdr:rowOff>104775</xdr:rowOff>
    </xdr:to>
    <xdr:sp>
      <xdr:nvSpPr>
        <xdr:cNvPr id="4" name="TextBox 4"/>
        <xdr:cNvSpPr txBox="1">
          <a:spLocks noChangeArrowheads="1"/>
        </xdr:cNvSpPr>
      </xdr:nvSpPr>
      <xdr:spPr>
        <a:xfrm>
          <a:off x="219075" y="6829425"/>
          <a:ext cx="5238750" cy="7239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5</a:t>
          </a:r>
          <a:r>
            <a:rPr lang="en-US" cap="none" sz="1000" b="0" i="0" u="none" baseline="0">
              <a:latin typeface="Arial"/>
              <a:ea typeface="Arial"/>
              <a:cs typeface="Arial"/>
            </a:rPr>
            <a:t>
The founders are vegetatively propagated (cloned). Then the founders are ranked based on the performance of the clones.
Parental testing, evaluation of parents based on the performance of their progeny, "progeny-test". This can be done e.g. by wind-pollination in the forest or polycross in a clonal archieve. The parents are ranked based on the performance of the progeny.</a:t>
          </a:r>
        </a:p>
      </xdr:txBody>
    </xdr:sp>
    <xdr:clientData/>
  </xdr:twoCellAnchor>
  <xdr:twoCellAnchor>
    <xdr:from>
      <xdr:col>0</xdr:col>
      <xdr:colOff>219075</xdr:colOff>
      <xdr:row>18</xdr:row>
      <xdr:rowOff>114300</xdr:rowOff>
    </xdr:from>
    <xdr:to>
      <xdr:col>8</xdr:col>
      <xdr:colOff>600075</xdr:colOff>
      <xdr:row>24</xdr:row>
      <xdr:rowOff>66675</xdr:rowOff>
    </xdr:to>
    <xdr:sp>
      <xdr:nvSpPr>
        <xdr:cNvPr id="5" name="TextBox 5"/>
        <xdr:cNvSpPr txBox="1">
          <a:spLocks noChangeArrowheads="1"/>
        </xdr:cNvSpPr>
      </xdr:nvSpPr>
      <xdr:spPr>
        <a:xfrm>
          <a:off x="219075" y="3028950"/>
          <a:ext cx="5257800" cy="9239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2</a:t>
          </a:r>
          <a:r>
            <a:rPr lang="en-US" cap="none" sz="1000" b="0" i="0" u="none" baseline="0">
              <a:latin typeface="Arial"/>
              <a:ea typeface="Arial"/>
              <a:cs typeface="Arial"/>
            </a:rPr>
            <a:t>
Parental testing, evaluation of parents based on the performance of a single full sib family per parent. The parents are ranked based on the performance of the progeny (thus pairs of parents get the same rank). This may not be the simpliest option, but is surprisingly effective.</a:t>
          </a:r>
        </a:p>
      </xdr:txBody>
    </xdr:sp>
    <xdr:clientData/>
  </xdr:twoCellAnchor>
  <xdr:twoCellAnchor>
    <xdr:from>
      <xdr:col>0</xdr:col>
      <xdr:colOff>238125</xdr:colOff>
      <xdr:row>25</xdr:row>
      <xdr:rowOff>38100</xdr:rowOff>
    </xdr:from>
    <xdr:to>
      <xdr:col>8</xdr:col>
      <xdr:colOff>600075</xdr:colOff>
      <xdr:row>32</xdr:row>
      <xdr:rowOff>114300</xdr:rowOff>
    </xdr:to>
    <xdr:sp>
      <xdr:nvSpPr>
        <xdr:cNvPr id="6" name="TextBox 6"/>
        <xdr:cNvSpPr txBox="1">
          <a:spLocks noChangeArrowheads="1"/>
        </xdr:cNvSpPr>
      </xdr:nvSpPr>
      <xdr:spPr>
        <a:xfrm>
          <a:off x="238125" y="4086225"/>
          <a:ext cx="5238750" cy="12096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Alternative 3</a:t>
          </a:r>
          <a:r>
            <a:rPr lang="en-US" cap="none" sz="1000" b="0" i="0" u="none" baseline="0">
              <a:latin typeface="Arial"/>
              <a:ea typeface="Arial"/>
              <a:cs typeface="Arial"/>
            </a:rPr>
            <a:t>
The founders are selections in the forest, and in some way half sib families (with an assumed large number of unrelated fathers) are created.
 This can be done e.g. by wind-pollination in the forest or polycross in a clonal archieve. The half sib families are ranked based on their performance. From the better half sib families, selections are made.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485775</xdr:colOff>
      <xdr:row>12</xdr:row>
      <xdr:rowOff>66675</xdr:rowOff>
    </xdr:from>
    <xdr:to>
      <xdr:col>33</xdr:col>
      <xdr:colOff>209550</xdr:colOff>
      <xdr:row>37</xdr:row>
      <xdr:rowOff>152400</xdr:rowOff>
    </xdr:to>
    <xdr:graphicFrame>
      <xdr:nvGraphicFramePr>
        <xdr:cNvPr id="1" name="Chart 15"/>
        <xdr:cNvGraphicFramePr/>
      </xdr:nvGraphicFramePr>
      <xdr:xfrm>
        <a:off x="11191875" y="2495550"/>
        <a:ext cx="5143500" cy="427672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61</xdr:row>
      <xdr:rowOff>152400</xdr:rowOff>
    </xdr:from>
    <xdr:to>
      <xdr:col>12</xdr:col>
      <xdr:colOff>0</xdr:colOff>
      <xdr:row>78</xdr:row>
      <xdr:rowOff>76200</xdr:rowOff>
    </xdr:to>
    <xdr:sp>
      <xdr:nvSpPr>
        <xdr:cNvPr id="2" name="TextBox 116"/>
        <xdr:cNvSpPr txBox="1">
          <a:spLocks noChangeArrowheads="1"/>
        </xdr:cNvSpPr>
      </xdr:nvSpPr>
      <xdr:spPr>
        <a:xfrm>
          <a:off x="2409825" y="10810875"/>
          <a:ext cx="3619500" cy="25717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Stage-wise selection</a:t>
          </a:r>
          <a:r>
            <a:rPr lang="en-US" cap="none" sz="1000" b="0" i="0" u="none" baseline="0">
              <a:solidFill>
                <a:srgbClr val="FF00FF"/>
              </a:solidFill>
              <a:latin typeface="Arial"/>
              <a:ea typeface="Arial"/>
              <a:cs typeface="Arial"/>
            </a:rPr>
            <a:t>
</a:t>
          </a:r>
          <a:r>
            <a:rPr lang="en-US" cap="none" sz="1000" b="0" i="0" u="none" baseline="0">
              <a:latin typeface="Arial"/>
              <a:ea typeface="Arial"/>
              <a:cs typeface="Arial"/>
            </a:rPr>
            <a:t>A common practice is to make to selections in a cycle in a stagewise sequential manner. The first stage can be to make a phenotypic "preselection" and the second stage to test preselected individual further by clonal or progeny testing and thereby do something which is equivalent to increasing heritability. The considerations to the left are meant to help to analyse the effect of such a praxis. The two round of selections are assumed to be for the same character.
Part of the mathematics used assume large populations, but it does not seem likely that this will cause large errors for small populations.
This type of stagewise selection is probably rather unrealistic as the characters used in the different steps can not be viewed as identical. If they are only correlated, the decrease in variance in the second stage will be smaller.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63</xdr:row>
      <xdr:rowOff>133350</xdr:rowOff>
    </xdr:from>
    <xdr:to>
      <xdr:col>12</xdr:col>
      <xdr:colOff>0</xdr:colOff>
      <xdr:row>80</xdr:row>
      <xdr:rowOff>76200</xdr:rowOff>
    </xdr:to>
    <xdr:sp>
      <xdr:nvSpPr>
        <xdr:cNvPr id="1" name="TextBox 57"/>
        <xdr:cNvSpPr txBox="1">
          <a:spLocks noChangeArrowheads="1"/>
        </xdr:cNvSpPr>
      </xdr:nvSpPr>
      <xdr:spPr>
        <a:xfrm>
          <a:off x="2409825" y="11191875"/>
          <a:ext cx="3743325" cy="2590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Stage-wise selection</a:t>
          </a:r>
          <a:r>
            <a:rPr lang="en-US" cap="none" sz="1000" b="0" i="0" u="none" baseline="0">
              <a:solidFill>
                <a:srgbClr val="FF00FF"/>
              </a:solidFill>
              <a:latin typeface="Arial"/>
              <a:ea typeface="Arial"/>
              <a:cs typeface="Arial"/>
            </a:rPr>
            <a:t>
</a:t>
          </a:r>
          <a:r>
            <a:rPr lang="en-US" cap="none" sz="1000" b="0" i="0" u="none" baseline="0">
              <a:latin typeface="Arial"/>
              <a:ea typeface="Arial"/>
              <a:cs typeface="Arial"/>
            </a:rPr>
            <a:t>A common practice is to make to selections in a cycle in a stagewise sequential manner. The first stage can be to make a phenotypic "preselection" and the second stage to test preselected individual further by clonal or progeny testing and thereby do something which is equivalent to increasing heritability. The considerations to the left are meant to help to analyse the effect of such a praxis. The two round of selections are assumed to be for the same character.
Part of the mathematics used assume large populations, but it does not seem likely that this will cause large errors for small populations.
This type of stagewise selection is probably rather unrealistic as the characters used in the different steps can not be viewed as identical. If they are only correlated, the decrease in variance in the second stage will be smaller.</a:t>
          </a:r>
        </a:p>
      </xdr:txBody>
    </xdr:sp>
    <xdr:clientData/>
  </xdr:twoCellAnchor>
  <xdr:twoCellAnchor>
    <xdr:from>
      <xdr:col>25</xdr:col>
      <xdr:colOff>266700</xdr:colOff>
      <xdr:row>43</xdr:row>
      <xdr:rowOff>9525</xdr:rowOff>
    </xdr:from>
    <xdr:to>
      <xdr:col>37</xdr:col>
      <xdr:colOff>200025</xdr:colOff>
      <xdr:row>67</xdr:row>
      <xdr:rowOff>133350</xdr:rowOff>
    </xdr:to>
    <xdr:graphicFrame>
      <xdr:nvGraphicFramePr>
        <xdr:cNvPr id="2" name="Chart 8"/>
        <xdr:cNvGraphicFramePr/>
      </xdr:nvGraphicFramePr>
      <xdr:xfrm>
        <a:off x="13039725" y="7686675"/>
        <a:ext cx="5857875" cy="4105275"/>
      </xdr:xfrm>
      <a:graphic>
        <a:graphicData uri="http://schemas.openxmlformats.org/drawingml/2006/chart">
          <c:chart xmlns:c="http://schemas.openxmlformats.org/drawingml/2006/chart" r:id="rId1"/>
        </a:graphicData>
      </a:graphic>
    </xdr:graphicFrame>
    <xdr:clientData/>
  </xdr:twoCellAnchor>
  <xdr:twoCellAnchor>
    <xdr:from>
      <xdr:col>31</xdr:col>
      <xdr:colOff>323850</xdr:colOff>
      <xdr:row>56</xdr:row>
      <xdr:rowOff>104775</xdr:rowOff>
    </xdr:from>
    <xdr:to>
      <xdr:col>37</xdr:col>
      <xdr:colOff>28575</xdr:colOff>
      <xdr:row>59</xdr:row>
      <xdr:rowOff>114300</xdr:rowOff>
    </xdr:to>
    <xdr:sp>
      <xdr:nvSpPr>
        <xdr:cNvPr id="3" name="TextBox 110"/>
        <xdr:cNvSpPr txBox="1">
          <a:spLocks noChangeArrowheads="1"/>
        </xdr:cNvSpPr>
      </xdr:nvSpPr>
      <xdr:spPr>
        <a:xfrm>
          <a:off x="15782925" y="9982200"/>
          <a:ext cx="2943225" cy="5238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Assumes pollinator trees in open-pollination has the same breeding value as the plus trees (e.g. Open pollination in seed orchard or archive)</a:t>
          </a:r>
        </a:p>
      </xdr:txBody>
    </xdr:sp>
    <xdr:clientData/>
  </xdr:twoCellAnchor>
  <xdr:twoCellAnchor>
    <xdr:from>
      <xdr:col>25</xdr:col>
      <xdr:colOff>304800</xdr:colOff>
      <xdr:row>19</xdr:row>
      <xdr:rowOff>123825</xdr:rowOff>
    </xdr:from>
    <xdr:to>
      <xdr:col>37</xdr:col>
      <xdr:colOff>190500</xdr:colOff>
      <xdr:row>42</xdr:row>
      <xdr:rowOff>133350</xdr:rowOff>
    </xdr:to>
    <xdr:graphicFrame>
      <xdr:nvGraphicFramePr>
        <xdr:cNvPr id="4" name="Chart 154"/>
        <xdr:cNvGraphicFramePr/>
      </xdr:nvGraphicFramePr>
      <xdr:xfrm>
        <a:off x="13077825" y="3724275"/>
        <a:ext cx="5810250" cy="3933825"/>
      </xdr:xfrm>
      <a:graphic>
        <a:graphicData uri="http://schemas.openxmlformats.org/drawingml/2006/chart">
          <c:chart xmlns:c="http://schemas.openxmlformats.org/drawingml/2006/chart" r:id="rId2"/>
        </a:graphicData>
      </a:graphic>
    </xdr:graphicFrame>
    <xdr:clientData/>
  </xdr:twoCellAnchor>
  <xdr:twoCellAnchor>
    <xdr:from>
      <xdr:col>32</xdr:col>
      <xdr:colOff>85725</xdr:colOff>
      <xdr:row>32</xdr:row>
      <xdr:rowOff>85725</xdr:rowOff>
    </xdr:from>
    <xdr:to>
      <xdr:col>36</xdr:col>
      <xdr:colOff>419100</xdr:colOff>
      <xdr:row>34</xdr:row>
      <xdr:rowOff>85725</xdr:rowOff>
    </xdr:to>
    <xdr:sp>
      <xdr:nvSpPr>
        <xdr:cNvPr id="5" name="TextBox 156"/>
        <xdr:cNvSpPr txBox="1">
          <a:spLocks noChangeArrowheads="1"/>
        </xdr:cNvSpPr>
      </xdr:nvSpPr>
      <xdr:spPr>
        <a:xfrm>
          <a:off x="15992475" y="5934075"/>
          <a:ext cx="2676525" cy="3333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Assumes pollinator trees in open-pollination has the value inserted in the sheet</a:t>
          </a:r>
        </a:p>
      </xdr:txBody>
    </xdr:sp>
    <xdr:clientData/>
  </xdr:twoCellAnchor>
  <xdr:twoCellAnchor>
    <xdr:from>
      <xdr:col>25</xdr:col>
      <xdr:colOff>314325</xdr:colOff>
      <xdr:row>0</xdr:row>
      <xdr:rowOff>104775</xdr:rowOff>
    </xdr:from>
    <xdr:to>
      <xdr:col>37</xdr:col>
      <xdr:colOff>190500</xdr:colOff>
      <xdr:row>19</xdr:row>
      <xdr:rowOff>66675</xdr:rowOff>
    </xdr:to>
    <xdr:graphicFrame>
      <xdr:nvGraphicFramePr>
        <xdr:cNvPr id="6" name="Chart 244"/>
        <xdr:cNvGraphicFramePr/>
      </xdr:nvGraphicFramePr>
      <xdr:xfrm>
        <a:off x="13087350" y="104775"/>
        <a:ext cx="5800725" cy="35623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xdr:row>
      <xdr:rowOff>0</xdr:rowOff>
    </xdr:from>
    <xdr:to>
      <xdr:col>16</xdr:col>
      <xdr:colOff>0</xdr:colOff>
      <xdr:row>32</xdr:row>
      <xdr:rowOff>28575</xdr:rowOff>
    </xdr:to>
    <xdr:graphicFrame>
      <xdr:nvGraphicFramePr>
        <xdr:cNvPr id="1" name="Chart 13"/>
        <xdr:cNvGraphicFramePr/>
      </xdr:nvGraphicFramePr>
      <xdr:xfrm>
        <a:off x="8943975" y="1533525"/>
        <a:ext cx="0" cy="4257675"/>
      </xdr:xfrm>
      <a:graphic>
        <a:graphicData uri="http://schemas.openxmlformats.org/drawingml/2006/chart">
          <c:chart xmlns:c="http://schemas.openxmlformats.org/drawingml/2006/chart" r:id="rId1"/>
        </a:graphicData>
      </a:graphic>
    </xdr:graphicFrame>
    <xdr:clientData/>
  </xdr:twoCellAnchor>
  <xdr:twoCellAnchor>
    <xdr:from>
      <xdr:col>14</xdr:col>
      <xdr:colOff>219075</xdr:colOff>
      <xdr:row>35</xdr:row>
      <xdr:rowOff>0</xdr:rowOff>
    </xdr:from>
    <xdr:to>
      <xdr:col>16</xdr:col>
      <xdr:colOff>0</xdr:colOff>
      <xdr:row>37</xdr:row>
      <xdr:rowOff>123825</xdr:rowOff>
    </xdr:to>
    <xdr:sp>
      <xdr:nvSpPr>
        <xdr:cNvPr id="2" name="TextBox 85"/>
        <xdr:cNvSpPr txBox="1">
          <a:spLocks noChangeArrowheads="1"/>
        </xdr:cNvSpPr>
      </xdr:nvSpPr>
      <xdr:spPr>
        <a:xfrm>
          <a:off x="6762750" y="6257925"/>
          <a:ext cx="2181225" cy="466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the quotients a1/a2 and a3/a2 can be interpreted as correlations.</a:t>
          </a:r>
        </a:p>
      </xdr:txBody>
    </xdr:sp>
    <xdr:clientData/>
  </xdr:twoCellAnchor>
  <xdr:twoCellAnchor>
    <xdr:from>
      <xdr:col>1</xdr:col>
      <xdr:colOff>85725</xdr:colOff>
      <xdr:row>7</xdr:row>
      <xdr:rowOff>76200</xdr:rowOff>
    </xdr:from>
    <xdr:to>
      <xdr:col>11</xdr:col>
      <xdr:colOff>247650</xdr:colOff>
      <xdr:row>8</xdr:row>
      <xdr:rowOff>95250</xdr:rowOff>
    </xdr:to>
    <xdr:sp>
      <xdr:nvSpPr>
        <xdr:cNvPr id="3" name="TextBox 87"/>
        <xdr:cNvSpPr txBox="1">
          <a:spLocks noChangeArrowheads="1"/>
        </xdr:cNvSpPr>
      </xdr:nvSpPr>
      <xdr:spPr>
        <a:xfrm>
          <a:off x="114300" y="1609725"/>
          <a:ext cx="5619750" cy="1809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0" i="0" u="none" baseline="0">
              <a:solidFill>
                <a:srgbClr val="800000"/>
              </a:solidFill>
              <a:latin typeface="Arial"/>
              <a:ea typeface="Arial"/>
              <a:cs typeface="Arial"/>
            </a:rPr>
            <a:t>Alt 1 and 2 are regarded less interesting for clonal forestry, and are thus not given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C183"/>
  <sheetViews>
    <sheetView showGridLines="0" workbookViewId="0" topLeftCell="A1">
      <selection activeCell="AB2" sqref="AB2"/>
    </sheetView>
  </sheetViews>
  <sheetFormatPr defaultColWidth="9.140625" defaultRowHeight="12.75"/>
  <sheetData>
    <row r="1" spans="2:11" ht="15.75">
      <c r="B1" t="s">
        <v>206</v>
      </c>
      <c r="C1" t="s">
        <v>207</v>
      </c>
      <c r="E1" t="s">
        <v>257</v>
      </c>
      <c r="K1" s="51" t="s">
        <v>88</v>
      </c>
    </row>
    <row r="2" ht="12.75">
      <c r="K2" s="44" t="s">
        <v>10</v>
      </c>
    </row>
    <row r="3" ht="12.75">
      <c r="K3" s="19" t="s">
        <v>89</v>
      </c>
    </row>
    <row r="4" ht="12.75">
      <c r="K4" s="19" t="s">
        <v>90</v>
      </c>
    </row>
    <row r="5" ht="11.25" customHeight="1">
      <c r="K5" s="19" t="s">
        <v>91</v>
      </c>
    </row>
    <row r="6" ht="12" customHeight="1">
      <c r="K6" s="19" t="s">
        <v>92</v>
      </c>
    </row>
    <row r="7" ht="12" customHeight="1">
      <c r="K7" s="18" t="s">
        <v>107</v>
      </c>
    </row>
    <row r="8" ht="12" customHeight="1">
      <c r="K8" s="18" t="s">
        <v>108</v>
      </c>
    </row>
    <row r="9" ht="12" customHeight="1">
      <c r="K9" s="19" t="s">
        <v>93</v>
      </c>
    </row>
    <row r="10" ht="12" customHeight="1">
      <c r="K10" s="19" t="s">
        <v>113</v>
      </c>
    </row>
    <row r="11" ht="12" customHeight="1">
      <c r="K11" s="19" t="s">
        <v>114</v>
      </c>
    </row>
    <row r="12" ht="12" customHeight="1"/>
    <row r="13" ht="12" customHeight="1">
      <c r="K13" s="27" t="s">
        <v>202</v>
      </c>
    </row>
    <row r="14" ht="12" customHeight="1">
      <c r="K14" s="1" t="s">
        <v>155</v>
      </c>
    </row>
    <row r="15" ht="12" customHeight="1">
      <c r="K15" s="1" t="s">
        <v>154</v>
      </c>
    </row>
    <row r="16" ht="12" customHeight="1">
      <c r="K16" s="1" t="s">
        <v>174</v>
      </c>
    </row>
    <row r="17" ht="12" customHeight="1">
      <c r="K17" s="83" t="s">
        <v>173</v>
      </c>
    </row>
    <row r="18" ht="12" customHeight="1">
      <c r="K18" s="1" t="s">
        <v>172</v>
      </c>
    </row>
    <row r="19" ht="12" customHeight="1">
      <c r="K19" s="1" t="s">
        <v>94</v>
      </c>
    </row>
    <row r="20" ht="12" customHeight="1"/>
    <row r="21" ht="12" customHeight="1">
      <c r="K21" s="1" t="s">
        <v>95</v>
      </c>
    </row>
    <row r="22" ht="12" customHeight="1">
      <c r="K22" s="1" t="s">
        <v>111</v>
      </c>
    </row>
    <row r="23" spans="3:11" ht="12" customHeight="1">
      <c r="C23" s="34"/>
      <c r="K23" t="s">
        <v>109</v>
      </c>
    </row>
    <row r="24" spans="11:29" ht="13.5">
      <c r="K24" t="s">
        <v>175</v>
      </c>
      <c r="X24" s="59" t="s">
        <v>129</v>
      </c>
      <c r="AB24" s="10" t="s">
        <v>112</v>
      </c>
      <c r="AC24" t="s">
        <v>169</v>
      </c>
    </row>
    <row r="25" ht="12.75">
      <c r="K25" t="s">
        <v>176</v>
      </c>
    </row>
    <row r="26" spans="24:29" ht="13.5">
      <c r="X26" s="59" t="s">
        <v>137</v>
      </c>
      <c r="AB26" s="10" t="s">
        <v>81</v>
      </c>
      <c r="AC26" t="s">
        <v>165</v>
      </c>
    </row>
    <row r="27" ht="12.75">
      <c r="K27" s="27" t="s">
        <v>96</v>
      </c>
    </row>
    <row r="28" ht="12.75">
      <c r="K28" t="s">
        <v>195</v>
      </c>
    </row>
    <row r="29" ht="12.75">
      <c r="K29" t="s">
        <v>177</v>
      </c>
    </row>
    <row r="30" ht="12.75">
      <c r="K30" t="s">
        <v>97</v>
      </c>
    </row>
    <row r="32" ht="12.75">
      <c r="K32" s="27" t="s">
        <v>203</v>
      </c>
    </row>
    <row r="33" ht="12.75">
      <c r="K33" s="48" t="s">
        <v>98</v>
      </c>
    </row>
    <row r="34" ht="12.75">
      <c r="K34" s="48" t="s">
        <v>179</v>
      </c>
    </row>
    <row r="35" ht="12.75">
      <c r="K35" s="48" t="s">
        <v>180</v>
      </c>
    </row>
    <row r="36" ht="12.75">
      <c r="K36" s="48" t="s">
        <v>181</v>
      </c>
    </row>
    <row r="37" ht="12.75">
      <c r="K37" s="1" t="s">
        <v>123</v>
      </c>
    </row>
    <row r="38" ht="12.75">
      <c r="K38" s="1" t="s">
        <v>99</v>
      </c>
    </row>
    <row r="39" ht="12" customHeight="1">
      <c r="K39" s="1" t="s">
        <v>100</v>
      </c>
    </row>
    <row r="40" ht="12.75">
      <c r="K40" s="1" t="s">
        <v>101</v>
      </c>
    </row>
    <row r="41" ht="12.75">
      <c r="K41" s="1" t="s">
        <v>102</v>
      </c>
    </row>
    <row r="42" ht="12.75">
      <c r="K42" s="1" t="s">
        <v>103</v>
      </c>
    </row>
    <row r="43" ht="12.75">
      <c r="K43" t="s">
        <v>182</v>
      </c>
    </row>
    <row r="59" ht="15.75" customHeight="1"/>
    <row r="60" ht="192" customHeight="1">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5" customHeight="1"/>
    <row r="166" ht="13.5">
      <c r="M166" s="97" t="s">
        <v>112</v>
      </c>
    </row>
    <row r="167" ht="13.5">
      <c r="M167" s="97" t="s">
        <v>205</v>
      </c>
    </row>
    <row r="182" spans="1:4" ht="12.75">
      <c r="A182" s="39"/>
      <c r="B182" s="39"/>
      <c r="D182" s="39"/>
    </row>
    <row r="183" ht="12.75">
      <c r="C183" s="39"/>
    </row>
  </sheetData>
  <printOptions/>
  <pageMargins left="0.75" right="0.75" top="1" bottom="1" header="0.5" footer="0.5"/>
  <pageSetup horizontalDpi="600" verticalDpi="600" orientation="portrait" paperSize="9" r:id="rId14"/>
  <headerFooter alignWithMargins="0">
    <oddHeader>&amp;C&amp;A</oddHeader>
    <oddFooter>&amp;CPage &amp;P</oddFooter>
  </headerFooter>
  <drawing r:id="rId13"/>
  <legacyDrawing r:id="rId12"/>
  <oleObjects>
    <oleObject progId="Equation.2" shapeId="7656990" r:id="rId2"/>
    <oleObject progId="Equation.2" shapeId="7746704" r:id="rId3"/>
    <oleObject progId="Equation.2" shapeId="7817367" r:id="rId4"/>
    <oleObject progId="Equation.3" shapeId="135377526" r:id="rId5"/>
    <oleObject progId="Equation.3" shapeId="20461221" r:id="rId6"/>
    <oleObject progId="Equation.3" shapeId="20463793" r:id="rId7"/>
    <oleObject progId="Equation.3" shapeId="20474914" r:id="rId8"/>
    <oleObject progId="Equation.3" shapeId="47885142" r:id="rId9"/>
    <oleObject progId="Equation.3" shapeId="21341883" r:id="rId10"/>
    <oleObject progId="Equation.3" shapeId="172158735" r:id="rId11"/>
  </oleObjects>
</worksheet>
</file>

<file path=xl/worksheets/sheet2.xml><?xml version="1.0" encoding="utf-8"?>
<worksheet xmlns="http://schemas.openxmlformats.org/spreadsheetml/2006/main" xmlns:r="http://schemas.openxmlformats.org/officeDocument/2006/relationships">
  <sheetPr codeName="Sheet3"/>
  <dimension ref="A1:A1"/>
  <sheetViews>
    <sheetView workbookViewId="0" topLeftCell="A13">
      <selection activeCell="A2" sqref="A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BG74"/>
  <sheetViews>
    <sheetView workbookViewId="0" topLeftCell="A1">
      <selection activeCell="N6" sqref="N6"/>
    </sheetView>
  </sheetViews>
  <sheetFormatPr defaultColWidth="9.140625" defaultRowHeight="12.75"/>
  <cols>
    <col min="1" max="1" width="0.9921875" style="1" customWidth="1"/>
    <col min="2" max="2" width="3.7109375" style="1" customWidth="1"/>
    <col min="3" max="3" width="14.28125" style="1" customWidth="1"/>
    <col min="4" max="4" width="6.140625" style="1" customWidth="1"/>
    <col min="5" max="5" width="7.421875" style="1" customWidth="1"/>
    <col min="6" max="6" width="8.140625" style="1" customWidth="1"/>
    <col min="7" max="8" width="6.7109375" style="1" customWidth="1"/>
    <col min="9" max="9" width="8.421875" style="1" customWidth="1"/>
    <col min="10" max="10" width="6.8515625" style="1" customWidth="1"/>
    <col min="11" max="11" width="12.421875" style="1" customWidth="1"/>
    <col min="12" max="12" width="8.57421875" style="1" customWidth="1"/>
    <col min="13" max="13" width="1.1484375" style="1" customWidth="1"/>
    <col min="14" max="14" width="6.140625" style="1" customWidth="1"/>
    <col min="15" max="15" width="7.28125" style="1" customWidth="1"/>
    <col min="16" max="16" width="24.00390625" style="1" customWidth="1"/>
    <col min="17" max="17" width="6.7109375" style="1" customWidth="1"/>
    <col min="18" max="18" width="5.57421875" style="1" customWidth="1"/>
    <col min="19" max="19" width="5.421875" style="1" customWidth="1"/>
    <col min="20" max="20" width="6.28125" style="1" customWidth="1"/>
    <col min="21" max="21" width="3.8515625" style="1" customWidth="1"/>
    <col min="22" max="22" width="3.7109375" style="1" customWidth="1"/>
    <col min="23" max="23" width="14.140625" style="1" customWidth="1"/>
    <col min="24" max="33" width="6.7109375" style="1" customWidth="1"/>
    <col min="34" max="34" width="6.7109375" style="0" customWidth="1"/>
    <col min="35" max="35" width="15.00390625" style="0" customWidth="1"/>
    <col min="36" max="37" width="6.7109375" style="0" customWidth="1"/>
    <col min="39" max="41" width="6.7109375" style="0" customWidth="1"/>
    <col min="42" max="42" width="14.421875" style="0" customWidth="1"/>
    <col min="43" max="43" width="17.421875" style="0" customWidth="1"/>
    <col min="44" max="44" width="6.7109375" style="0" customWidth="1"/>
    <col min="45" max="45" width="22.140625" style="0" customWidth="1"/>
    <col min="46" max="46" width="23.421875" style="0" customWidth="1"/>
    <col min="47" max="47" width="15.28125" style="0" customWidth="1"/>
    <col min="48" max="59" width="6.7109375" style="0" customWidth="1"/>
    <col min="60" max="16384" width="6.7109375" style="1" customWidth="1"/>
  </cols>
  <sheetData>
    <row r="1" spans="2:21" ht="37.5" customHeight="1">
      <c r="B1" s="30" t="s">
        <v>0</v>
      </c>
      <c r="C1" s="31"/>
      <c r="D1" s="32"/>
      <c r="E1" s="31"/>
      <c r="F1" s="31"/>
      <c r="G1" s="31"/>
      <c r="H1" s="31"/>
      <c r="I1" s="31"/>
      <c r="J1" s="33"/>
      <c r="K1" s="33"/>
      <c r="L1" s="31"/>
      <c r="M1" s="33"/>
      <c r="N1" s="33"/>
      <c r="O1" s="31" t="s">
        <v>226</v>
      </c>
      <c r="P1" s="31"/>
      <c r="Q1"/>
      <c r="R1"/>
      <c r="S1"/>
      <c r="T1"/>
      <c r="U1"/>
    </row>
    <row r="2" spans="2:21" ht="14.25" customHeight="1">
      <c r="B2" s="200" t="s">
        <v>208</v>
      </c>
      <c r="C2" s="201"/>
      <c r="D2" s="202"/>
      <c r="E2" s="203"/>
      <c r="F2" s="202"/>
      <c r="G2" s="202"/>
      <c r="H2" s="202" t="s">
        <v>209</v>
      </c>
      <c r="I2" s="203"/>
      <c r="J2" s="202"/>
      <c r="K2" s="204"/>
      <c r="L2" s="214" t="s">
        <v>221</v>
      </c>
      <c r="M2" s="204"/>
      <c r="N2" s="1" t="s">
        <v>212</v>
      </c>
      <c r="O2" s="203"/>
      <c r="P2" s="203" t="s">
        <v>227</v>
      </c>
      <c r="Q2"/>
      <c r="R2"/>
      <c r="S2"/>
      <c r="T2"/>
      <c r="U2"/>
    </row>
    <row r="3" spans="2:21" ht="13.5" customHeight="1">
      <c r="B3" s="205"/>
      <c r="C3" s="206" t="s">
        <v>215</v>
      </c>
      <c r="D3" s="207" t="s">
        <v>216</v>
      </c>
      <c r="E3" s="208" t="s">
        <v>217</v>
      </c>
      <c r="F3" s="209" t="s">
        <v>218</v>
      </c>
      <c r="G3" s="208" t="s">
        <v>219</v>
      </c>
      <c r="H3" s="210" t="s">
        <v>228</v>
      </c>
      <c r="I3" s="208" t="s">
        <v>225</v>
      </c>
      <c r="J3" s="211" t="s">
        <v>23</v>
      </c>
      <c r="K3" s="212" t="s">
        <v>210</v>
      </c>
      <c r="L3" s="213" t="s">
        <v>220</v>
      </c>
      <c r="N3" s="215" t="s">
        <v>222</v>
      </c>
      <c r="O3" s="216" t="s">
        <v>223</v>
      </c>
      <c r="P3" s="211" t="s">
        <v>224</v>
      </c>
      <c r="Q3"/>
      <c r="R3"/>
      <c r="S3"/>
      <c r="T3"/>
      <c r="U3"/>
    </row>
    <row r="4" spans="2:23" ht="18" customHeight="1">
      <c r="B4" s="35" t="s">
        <v>1</v>
      </c>
      <c r="C4" s="26"/>
      <c r="D4" s="13"/>
      <c r="J4"/>
      <c r="L4"/>
      <c r="N4"/>
      <c r="O4" s="27" t="s">
        <v>2</v>
      </c>
      <c r="P4" s="27"/>
      <c r="R4"/>
      <c r="S4" s="28"/>
      <c r="T4" s="28"/>
      <c r="U4"/>
      <c r="V4"/>
      <c r="W4"/>
    </row>
    <row r="5" spans="2:21" ht="13.5">
      <c r="B5"/>
      <c r="C5" s="10" t="s">
        <v>3</v>
      </c>
      <c r="D5" s="22" t="s">
        <v>4</v>
      </c>
      <c r="E5" s="49" t="s">
        <v>4</v>
      </c>
      <c r="F5" s="23" t="s">
        <v>5</v>
      </c>
      <c r="G5" s="50" t="s">
        <v>5</v>
      </c>
      <c r="H5" s="66"/>
      <c r="I5" s="10" t="s">
        <v>6</v>
      </c>
      <c r="J5" s="49">
        <v>1</v>
      </c>
      <c r="K5" s="79" t="s">
        <v>204</v>
      </c>
      <c r="L5" s="20">
        <f>rg(J5)</f>
        <v>1</v>
      </c>
      <c r="M5"/>
      <c r="N5"/>
      <c r="O5" s="49">
        <v>0</v>
      </c>
      <c r="P5" s="1" t="s">
        <v>7</v>
      </c>
      <c r="Q5"/>
      <c r="R5"/>
      <c r="S5"/>
      <c r="T5"/>
      <c r="U5"/>
    </row>
    <row r="6" spans="2:21" ht="14.25">
      <c r="B6"/>
      <c r="C6" s="1" t="s">
        <v>8</v>
      </c>
      <c r="D6"/>
      <c r="E6"/>
      <c r="F6"/>
      <c r="G6"/>
      <c r="H6"/>
      <c r="I6" s="4"/>
      <c r="K6"/>
      <c r="L6"/>
      <c r="M6"/>
      <c r="N6"/>
      <c r="O6" s="49">
        <v>1</v>
      </c>
      <c r="P6" s="1" t="s">
        <v>9</v>
      </c>
      <c r="R6"/>
      <c r="S6"/>
      <c r="T6"/>
      <c r="U6"/>
    </row>
    <row r="7" spans="2:21" ht="13.5">
      <c r="B7"/>
      <c r="D7" s="10" t="s">
        <v>10</v>
      </c>
      <c r="E7" s="80" t="s">
        <v>146</v>
      </c>
      <c r="F7" s="224">
        <v>1</v>
      </c>
      <c r="G7" s="80" t="s">
        <v>149</v>
      </c>
      <c r="H7" s="25">
        <v>0.25</v>
      </c>
      <c r="I7" s="80" t="s">
        <v>152</v>
      </c>
      <c r="J7" s="25">
        <v>8.75</v>
      </c>
      <c r="K7" s="18" t="s">
        <v>105</v>
      </c>
      <c r="L7" s="20">
        <f>F7+H7+J7</f>
        <v>10</v>
      </c>
      <c r="M7" s="19"/>
      <c r="N7" s="19"/>
      <c r="O7" s="25">
        <v>10</v>
      </c>
      <c r="P7" s="1" t="s">
        <v>14</v>
      </c>
      <c r="Q7"/>
      <c r="R7"/>
      <c r="S7" s="6"/>
      <c r="T7" s="6"/>
      <c r="U7"/>
    </row>
    <row r="8" spans="4:21" ht="13.5">
      <c r="D8" s="14" t="s">
        <v>15</v>
      </c>
      <c r="E8" s="80" t="s">
        <v>147</v>
      </c>
      <c r="F8" s="24">
        <f>SQRT(F7)</f>
        <v>1</v>
      </c>
      <c r="G8" s="80" t="s">
        <v>150</v>
      </c>
      <c r="H8" s="16">
        <f>SQRT(H7)</f>
        <v>0.5</v>
      </c>
      <c r="I8" s="80" t="s">
        <v>153</v>
      </c>
      <c r="J8" s="16">
        <f>SQRT(J7)</f>
        <v>2.958039891549808</v>
      </c>
      <c r="K8" s="80" t="s">
        <v>141</v>
      </c>
      <c r="L8" s="49">
        <v>1</v>
      </c>
      <c r="M8" s="18"/>
      <c r="N8" s="18"/>
      <c r="O8"/>
      <c r="Q8" s="49">
        <v>60</v>
      </c>
      <c r="R8" t="s">
        <v>117</v>
      </c>
      <c r="S8"/>
      <c r="T8"/>
      <c r="U8"/>
    </row>
    <row r="9" spans="4:25" ht="13.5">
      <c r="D9" s="10" t="s">
        <v>122</v>
      </c>
      <c r="E9" s="79" t="s">
        <v>148</v>
      </c>
      <c r="F9" s="21">
        <f>F7/L7</f>
        <v>0.1</v>
      </c>
      <c r="G9" s="79" t="s">
        <v>151</v>
      </c>
      <c r="H9" s="21">
        <f>(F7+H7)/L7</f>
        <v>0.125</v>
      </c>
      <c r="I9"/>
      <c r="J9"/>
      <c r="K9" s="3"/>
      <c r="L9" s="5"/>
      <c r="M9" s="19"/>
      <c r="N9" s="19"/>
      <c r="O9"/>
      <c r="P9"/>
      <c r="Q9"/>
      <c r="R9"/>
      <c r="U9"/>
      <c r="V9"/>
      <c r="W9"/>
      <c r="X9"/>
      <c r="Y9"/>
    </row>
    <row r="10" spans="2:26" ht="12.75">
      <c r="B10"/>
      <c r="C10"/>
      <c r="D10"/>
      <c r="E10"/>
      <c r="F10"/>
      <c r="G10"/>
      <c r="H10"/>
      <c r="I10"/>
      <c r="J10"/>
      <c r="K10"/>
      <c r="L10"/>
      <c r="O10"/>
      <c r="Q10"/>
      <c r="R10"/>
      <c r="T10" s="49">
        <v>5</v>
      </c>
      <c r="U10" t="s">
        <v>119</v>
      </c>
      <c r="V10"/>
      <c r="W10"/>
      <c r="X10"/>
      <c r="Y10"/>
      <c r="Z10"/>
    </row>
    <row r="11" spans="2:59" s="38" customFormat="1" ht="13.5" thickBot="1">
      <c r="B11" s="39"/>
      <c r="C11" s="39"/>
      <c r="D11" s="39"/>
      <c r="E11" s="39"/>
      <c r="F11" s="39"/>
      <c r="G11" s="39"/>
      <c r="H11" s="39"/>
      <c r="I11" s="39"/>
      <c r="J11" s="39"/>
      <c r="K11" s="40"/>
      <c r="L11" s="39"/>
      <c r="N11" s="45" t="s">
        <v>115</v>
      </c>
      <c r="Q11" s="46" t="s">
        <v>21</v>
      </c>
      <c r="R11" s="46"/>
      <c r="S11" s="46"/>
      <c r="T11" s="52"/>
      <c r="U11" s="47" t="s">
        <v>197</v>
      </c>
      <c r="V11" s="2"/>
      <c r="W11" s="1"/>
      <c r="X11" s="1"/>
      <c r="Y11" s="1"/>
      <c r="Z11" s="1"/>
      <c r="AH11"/>
      <c r="AI11"/>
      <c r="AJ11"/>
      <c r="AK11"/>
      <c r="AL11"/>
      <c r="AM11"/>
      <c r="AN11"/>
      <c r="AO11"/>
      <c r="AP11"/>
      <c r="AQ11"/>
      <c r="AR11"/>
      <c r="AS11"/>
      <c r="AT11"/>
      <c r="AU11"/>
      <c r="AV11"/>
      <c r="AW11"/>
      <c r="AX11"/>
      <c r="AY11"/>
      <c r="AZ11"/>
      <c r="BA11"/>
      <c r="BB11"/>
      <c r="BC11"/>
      <c r="BD11"/>
      <c r="BE11"/>
      <c r="BF11"/>
      <c r="BG11"/>
    </row>
    <row r="12" spans="2:59" s="38" customFormat="1" ht="13.5" thickTop="1">
      <c r="B12" s="118" t="s">
        <v>22</v>
      </c>
      <c r="C12" s="119"/>
      <c r="D12" s="120"/>
      <c r="E12" s="119"/>
      <c r="F12" s="119"/>
      <c r="G12" s="119"/>
      <c r="H12" s="119"/>
      <c r="I12" s="119"/>
      <c r="J12" s="119"/>
      <c r="K12" s="119"/>
      <c r="L12" s="119"/>
      <c r="M12" s="146"/>
      <c r="N12" s="146"/>
      <c r="O12" s="162" t="s">
        <v>23</v>
      </c>
      <c r="P12" s="119"/>
      <c r="Q12" s="163" t="s">
        <v>24</v>
      </c>
      <c r="R12" s="163" t="s">
        <v>25</v>
      </c>
      <c r="S12" s="163" t="s">
        <v>26</v>
      </c>
      <c r="T12" s="119" t="s">
        <v>118</v>
      </c>
      <c r="U12" s="164"/>
      <c r="V12" s="165" t="s">
        <v>196</v>
      </c>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2:22" ht="13.5">
      <c r="B13" s="126"/>
      <c r="C13" s="45" t="s">
        <v>28</v>
      </c>
      <c r="D13" s="38"/>
      <c r="E13" s="39"/>
      <c r="F13" s="39"/>
      <c r="G13" s="38"/>
      <c r="H13" s="38"/>
      <c r="I13" s="38"/>
      <c r="J13" s="91" t="s">
        <v>29</v>
      </c>
      <c r="K13" s="91" t="s">
        <v>183</v>
      </c>
      <c r="L13" s="92">
        <f>L$8*L$5*J16*L17</f>
        <v>0.8660396371437595</v>
      </c>
      <c r="M13" s="39"/>
      <c r="N13" s="39"/>
      <c r="O13" s="41">
        <f>D14*H16</f>
        <v>2500</v>
      </c>
      <c r="P13" s="38" t="s">
        <v>30</v>
      </c>
      <c r="Q13" s="93">
        <v>10</v>
      </c>
      <c r="R13" s="43">
        <f aca="true" t="shared" si="0" ref="R13:R18">(Q13-U$13-V$13)/$Q$8</f>
        <v>0.06666666666666667</v>
      </c>
      <c r="S13" s="43">
        <f aca="true" t="shared" si="1" ref="S13:S18">rg(R13)*S$19</f>
        <v>0.17944341281618698</v>
      </c>
      <c r="T13" s="43">
        <f aca="true" t="shared" si="2" ref="T13:T18">(S13-$T$10*$N$17)/Q13</f>
        <v>0.005444341281618697</v>
      </c>
      <c r="U13" s="94">
        <v>3</v>
      </c>
      <c r="V13" s="128">
        <v>3</v>
      </c>
    </row>
    <row r="14" spans="2:27" ht="12.75">
      <c r="B14" s="129"/>
      <c r="C14" s="97" t="s">
        <v>31</v>
      </c>
      <c r="D14" s="108">
        <v>25</v>
      </c>
      <c r="E14" s="38"/>
      <c r="F14" s="97" t="s">
        <v>32</v>
      </c>
      <c r="G14" s="104">
        <f>D16</f>
        <v>20</v>
      </c>
      <c r="H14" s="38" t="s">
        <v>33</v>
      </c>
      <c r="I14" s="105">
        <f>H16</f>
        <v>100</v>
      </c>
      <c r="J14" s="38" t="s">
        <v>34</v>
      </c>
      <c r="K14" s="39"/>
      <c r="L14" s="101"/>
      <c r="M14" s="39"/>
      <c r="N14" s="39"/>
      <c r="O14" s="102">
        <f>O$5+H16*(O$7+D14*O$6)</f>
        <v>3500</v>
      </c>
      <c r="P14" s="38" t="s">
        <v>35</v>
      </c>
      <c r="Q14" s="93">
        <v>20</v>
      </c>
      <c r="R14" s="43">
        <f t="shared" si="0"/>
        <v>0.23333333333333334</v>
      </c>
      <c r="S14" s="43">
        <f t="shared" si="1"/>
        <v>0.4951768104116679</v>
      </c>
      <c r="T14" s="43">
        <f t="shared" si="2"/>
        <v>0.018508840520583394</v>
      </c>
      <c r="U14" s="39"/>
      <c r="V14" s="156"/>
      <c r="AA14" s="38"/>
    </row>
    <row r="15" spans="2:22" ht="12.75">
      <c r="B15" s="129"/>
      <c r="C15" s="45" t="s">
        <v>36</v>
      </c>
      <c r="D15" s="39"/>
      <c r="E15" s="38"/>
      <c r="F15" s="38"/>
      <c r="G15" s="39"/>
      <c r="H15" s="39"/>
      <c r="I15" s="39"/>
      <c r="J15" s="39"/>
      <c r="K15" s="39"/>
      <c r="L15" s="54"/>
      <c r="M15" s="39"/>
      <c r="N15" s="39"/>
      <c r="O15" s="41"/>
      <c r="P15" s="38" t="s">
        <v>37</v>
      </c>
      <c r="Q15" s="93">
        <v>30</v>
      </c>
      <c r="R15" s="43">
        <f t="shared" si="0"/>
        <v>0.4</v>
      </c>
      <c r="S15" s="43">
        <f t="shared" si="1"/>
        <v>0.638948849257886</v>
      </c>
      <c r="T15" s="43">
        <f t="shared" si="2"/>
        <v>0.0171316283085962</v>
      </c>
      <c r="U15" s="39"/>
      <c r="V15" s="156"/>
    </row>
    <row r="16" spans="2:22" ht="12.75">
      <c r="B16" s="129"/>
      <c r="C16" s="106" t="s">
        <v>145</v>
      </c>
      <c r="D16" s="107">
        <v>20</v>
      </c>
      <c r="E16" s="39"/>
      <c r="F16" s="39"/>
      <c r="G16" s="97" t="s">
        <v>39</v>
      </c>
      <c r="H16" s="108">
        <v>100</v>
      </c>
      <c r="I16" s="132" t="s">
        <v>40</v>
      </c>
      <c r="J16" s="43">
        <f>SelBurr(D16,H16)</f>
        <v>1.3856634194300153</v>
      </c>
      <c r="K16" s="39"/>
      <c r="L16" s="39"/>
      <c r="M16" s="39"/>
      <c r="N16" s="109">
        <f>D16</f>
        <v>20</v>
      </c>
      <c r="O16" s="39"/>
      <c r="P16" s="38" t="s">
        <v>41</v>
      </c>
      <c r="Q16" s="93">
        <v>40</v>
      </c>
      <c r="R16" s="43">
        <f t="shared" si="0"/>
        <v>0.5666666666666667</v>
      </c>
      <c r="S16" s="43">
        <f t="shared" si="1"/>
        <v>0.7318562494184726</v>
      </c>
      <c r="T16" s="43">
        <f t="shared" si="2"/>
        <v>0.015171406235461815</v>
      </c>
      <c r="U16" s="39"/>
      <c r="V16" s="156"/>
    </row>
    <row r="17" spans="2:22" ht="13.5">
      <c r="B17" s="133"/>
      <c r="C17" s="97" t="s">
        <v>211</v>
      </c>
      <c r="D17" s="43">
        <f>0.5*SQRT($F$7)</f>
        <v>0.5</v>
      </c>
      <c r="E17" s="39"/>
      <c r="F17" s="39"/>
      <c r="G17" s="39"/>
      <c r="H17" s="53"/>
      <c r="I17" s="97" t="s">
        <v>110</v>
      </c>
      <c r="J17" s="43">
        <f>SQRT(0.25*$F$7+(0.75*$F$7+$H$7+$J$7)/D14)</f>
        <v>0.8</v>
      </c>
      <c r="K17" s="111" t="s">
        <v>140</v>
      </c>
      <c r="L17" s="43">
        <f>D17/J17</f>
        <v>0.625</v>
      </c>
      <c r="M17" s="38"/>
      <c r="N17" s="43">
        <f>0.5/N16</f>
        <v>0.025</v>
      </c>
      <c r="O17" s="39"/>
      <c r="P17" s="38" t="s">
        <v>43</v>
      </c>
      <c r="Q17" s="93">
        <v>50</v>
      </c>
      <c r="R17" s="43">
        <f t="shared" si="0"/>
        <v>0.7333333333333333</v>
      </c>
      <c r="S17" s="43">
        <f t="shared" si="1"/>
        <v>0.80062963972412</v>
      </c>
      <c r="T17" s="43">
        <f t="shared" si="2"/>
        <v>0.0135125927944824</v>
      </c>
      <c r="U17" s="38"/>
      <c r="V17" s="130"/>
    </row>
    <row r="18" spans="2:59" s="12" customFormat="1" ht="12.75">
      <c r="B18" s="129"/>
      <c r="C18" s="39"/>
      <c r="D18" s="39"/>
      <c r="E18" s="39"/>
      <c r="F18" s="39"/>
      <c r="G18" s="39"/>
      <c r="H18" s="39"/>
      <c r="I18" s="39"/>
      <c r="J18" s="39"/>
      <c r="K18" s="39"/>
      <c r="L18" s="39"/>
      <c r="M18" s="39"/>
      <c r="N18" s="104">
        <f>D16</f>
        <v>20</v>
      </c>
      <c r="O18" s="41"/>
      <c r="P18" s="38" t="s">
        <v>116</v>
      </c>
      <c r="Q18" s="93">
        <v>60</v>
      </c>
      <c r="R18" s="43">
        <f t="shared" si="0"/>
        <v>0.9</v>
      </c>
      <c r="S18" s="43">
        <f t="shared" si="1"/>
        <v>0.8552565439997631</v>
      </c>
      <c r="T18" s="43">
        <f t="shared" si="2"/>
        <v>0.012170942399996052</v>
      </c>
      <c r="U18" s="53"/>
      <c r="V18" s="166"/>
      <c r="AH18"/>
      <c r="AI18"/>
      <c r="AJ18"/>
      <c r="AK18"/>
      <c r="AL18"/>
      <c r="AM18"/>
      <c r="AN18"/>
      <c r="AO18"/>
      <c r="AP18"/>
      <c r="AQ18"/>
      <c r="AR18"/>
      <c r="AS18"/>
      <c r="AT18"/>
      <c r="AU18"/>
      <c r="AV18"/>
      <c r="AW18"/>
      <c r="AX18"/>
      <c r="AY18"/>
      <c r="AZ18"/>
      <c r="BA18"/>
      <c r="BB18"/>
      <c r="BC18"/>
      <c r="BD18"/>
      <c r="BE18"/>
      <c r="BF18"/>
      <c r="BG18"/>
    </row>
    <row r="19" spans="2:59" s="39" customFormat="1" ht="13.5" thickBot="1">
      <c r="B19" s="135"/>
      <c r="C19" s="138"/>
      <c r="D19" s="138"/>
      <c r="E19" s="138"/>
      <c r="F19" s="138"/>
      <c r="G19" s="138"/>
      <c r="H19" s="138"/>
      <c r="I19" s="138"/>
      <c r="J19" s="138"/>
      <c r="K19" s="138"/>
      <c r="L19" s="138"/>
      <c r="M19" s="138"/>
      <c r="N19" s="138"/>
      <c r="O19" s="141"/>
      <c r="P19" s="139"/>
      <c r="Q19" s="160"/>
      <c r="R19" s="138" t="s">
        <v>44</v>
      </c>
      <c r="S19" s="219">
        <f>L17*J16*L$8</f>
        <v>0.8660396371437595</v>
      </c>
      <c r="T19" s="137"/>
      <c r="U19" s="138"/>
      <c r="V19" s="161"/>
      <c r="AH19"/>
      <c r="AI19"/>
      <c r="AJ19"/>
      <c r="AK19"/>
      <c r="AL19"/>
      <c r="AM19"/>
      <c r="AN19"/>
      <c r="AO19"/>
      <c r="AP19"/>
      <c r="AQ19"/>
      <c r="AR19"/>
      <c r="AS19"/>
      <c r="AT19"/>
      <c r="AU19"/>
      <c r="AV19"/>
      <c r="AW19"/>
      <c r="AX19"/>
      <c r="AY19"/>
      <c r="AZ19"/>
      <c r="BA19"/>
      <c r="BB19"/>
      <c r="BC19"/>
      <c r="BD19"/>
      <c r="BE19"/>
      <c r="BF19"/>
      <c r="BG19"/>
    </row>
    <row r="20" spans="15:59" s="39" customFormat="1" ht="14.25" thickBot="1" thickTop="1">
      <c r="O20" s="41"/>
      <c r="P20" s="38"/>
      <c r="Q20" s="42"/>
      <c r="S20" s="43"/>
      <c r="T20" s="9"/>
      <c r="AH20"/>
      <c r="AI20"/>
      <c r="AJ20"/>
      <c r="AK20"/>
      <c r="AL20"/>
      <c r="AM20"/>
      <c r="AN20"/>
      <c r="AO20"/>
      <c r="AP20"/>
      <c r="AQ20"/>
      <c r="AR20"/>
      <c r="AS20"/>
      <c r="AT20"/>
      <c r="AU20"/>
      <c r="AV20"/>
      <c r="AW20"/>
      <c r="AX20"/>
      <c r="AY20"/>
      <c r="AZ20"/>
      <c r="BA20"/>
      <c r="BB20"/>
      <c r="BC20"/>
      <c r="BD20"/>
      <c r="BE20"/>
      <c r="BF20"/>
      <c r="BG20"/>
    </row>
    <row r="21" spans="1:59" s="36" customFormat="1" ht="13.5" thickTop="1">
      <c r="A21" s="39"/>
      <c r="B21" s="118" t="s">
        <v>121</v>
      </c>
      <c r="C21" s="119"/>
      <c r="D21" s="120"/>
      <c r="E21" s="119"/>
      <c r="F21" s="119"/>
      <c r="G21" s="119"/>
      <c r="H21" s="119"/>
      <c r="I21" s="119"/>
      <c r="J21" s="119"/>
      <c r="K21" s="119"/>
      <c r="L21" s="119"/>
      <c r="M21" s="146"/>
      <c r="N21" s="146"/>
      <c r="O21" s="123"/>
      <c r="P21" s="119"/>
      <c r="Q21" s="144"/>
      <c r="R21" s="146"/>
      <c r="S21" s="121"/>
      <c r="T21" s="119" t="s">
        <v>118</v>
      </c>
      <c r="U21" s="146"/>
      <c r="V21" s="147"/>
      <c r="W21" s="39"/>
      <c r="X21" s="39"/>
      <c r="Y21" s="39"/>
      <c r="Z21" s="39"/>
      <c r="AA21" s="39"/>
      <c r="AB21" s="39"/>
      <c r="AC21" s="39"/>
      <c r="AD21" s="39"/>
      <c r="AE21" s="39"/>
      <c r="AF21" s="39"/>
      <c r="AG21" s="39"/>
      <c r="AH21"/>
      <c r="AI21"/>
      <c r="AJ21"/>
      <c r="AK21"/>
      <c r="AL21"/>
      <c r="AM21"/>
      <c r="AN21"/>
      <c r="AO21"/>
      <c r="AP21"/>
      <c r="AQ21"/>
      <c r="AR21"/>
      <c r="AS21"/>
      <c r="AT21"/>
      <c r="AU21"/>
      <c r="AV21"/>
      <c r="AW21"/>
      <c r="AX21"/>
      <c r="AY21"/>
      <c r="AZ21"/>
      <c r="BA21"/>
      <c r="BB21"/>
      <c r="BC21"/>
      <c r="BD21"/>
      <c r="BE21"/>
      <c r="BF21"/>
      <c r="BG21"/>
    </row>
    <row r="22" spans="2:22" ht="13.5">
      <c r="B22" s="126"/>
      <c r="C22" s="45" t="s">
        <v>28</v>
      </c>
      <c r="D22" s="38"/>
      <c r="E22" s="39"/>
      <c r="F22" s="39"/>
      <c r="G22" s="38"/>
      <c r="H22" s="38"/>
      <c r="I22" s="38"/>
      <c r="J22" s="91" t="s">
        <v>29</v>
      </c>
      <c r="K22" s="91" t="s">
        <v>184</v>
      </c>
      <c r="L22" s="92">
        <f>L$8*L$5*J25*L26</f>
        <v>0.8984847024160542</v>
      </c>
      <c r="M22" s="39"/>
      <c r="N22" s="39"/>
      <c r="O22" s="41">
        <f>D23*H25/2</f>
        <v>2500</v>
      </c>
      <c r="P22" s="38" t="s">
        <v>30</v>
      </c>
      <c r="Q22" s="93">
        <v>10</v>
      </c>
      <c r="R22" s="43">
        <f aca="true" t="shared" si="3" ref="R22:R27">(Q22-U$22-V$22)/$Q$8</f>
        <v>0.03333333333333333</v>
      </c>
      <c r="S22" s="43">
        <f aca="true" t="shared" si="4" ref="S22:S27">rg(R22)*S$28</f>
        <v>0.09308301517030321</v>
      </c>
      <c r="T22" s="43">
        <f aca="true" t="shared" si="5" ref="T22:T27">(S22-$T$10*$N$26)/Q22</f>
        <v>-0.003191698482969679</v>
      </c>
      <c r="U22" s="94">
        <v>5</v>
      </c>
      <c r="V22" s="128">
        <v>3</v>
      </c>
    </row>
    <row r="23" spans="2:22" ht="12.75">
      <c r="B23" s="129"/>
      <c r="C23" s="97" t="s">
        <v>31</v>
      </c>
      <c r="D23" s="108">
        <v>25</v>
      </c>
      <c r="E23" s="38"/>
      <c r="F23" s="97" t="s">
        <v>32</v>
      </c>
      <c r="G23" s="104">
        <f>D25</f>
        <v>20</v>
      </c>
      <c r="H23" s="38" t="s">
        <v>33</v>
      </c>
      <c r="I23" s="105">
        <f>H25</f>
        <v>200</v>
      </c>
      <c r="J23" s="38" t="s">
        <v>34</v>
      </c>
      <c r="K23" s="39"/>
      <c r="L23" s="101"/>
      <c r="M23" s="39"/>
      <c r="N23" s="39"/>
      <c r="O23" s="102">
        <f>O$5+H25*(O$7+D23*O$6/2)</f>
        <v>4500</v>
      </c>
      <c r="P23" s="38" t="s">
        <v>45</v>
      </c>
      <c r="Q23" s="93">
        <v>20</v>
      </c>
      <c r="R23" s="43">
        <f t="shared" si="3"/>
        <v>0.2</v>
      </c>
      <c r="S23" s="43">
        <f t="shared" si="4"/>
        <v>0.47106935057075117</v>
      </c>
      <c r="T23" s="43">
        <f t="shared" si="5"/>
        <v>0.017303467528537557</v>
      </c>
      <c r="U23" s="39"/>
      <c r="V23" s="156"/>
    </row>
    <row r="24" spans="2:22" ht="12.75">
      <c r="B24" s="129"/>
      <c r="C24" s="45" t="s">
        <v>36</v>
      </c>
      <c r="D24" s="39"/>
      <c r="E24" s="38"/>
      <c r="F24" s="38"/>
      <c r="G24" s="39"/>
      <c r="H24" s="39"/>
      <c r="I24" s="39"/>
      <c r="J24" s="39"/>
      <c r="K24" s="39"/>
      <c r="L24" s="54"/>
      <c r="M24" s="39"/>
      <c r="N24" s="39"/>
      <c r="O24" s="41"/>
      <c r="P24" s="38" t="s">
        <v>46</v>
      </c>
      <c r="Q24" s="93">
        <v>30</v>
      </c>
      <c r="R24" s="43">
        <f t="shared" si="3"/>
        <v>0.36666666666666664</v>
      </c>
      <c r="S24" s="43">
        <f t="shared" si="4"/>
        <v>0.6388073046758851</v>
      </c>
      <c r="T24" s="43">
        <f t="shared" si="5"/>
        <v>0.017126910155862835</v>
      </c>
      <c r="U24" s="39"/>
      <c r="V24" s="156"/>
    </row>
    <row r="25" spans="2:22" ht="12.75">
      <c r="B25" s="129"/>
      <c r="C25" s="106" t="s">
        <v>145</v>
      </c>
      <c r="D25" s="107">
        <v>20</v>
      </c>
      <c r="E25" s="39"/>
      <c r="F25" s="39"/>
      <c r="G25" s="97" t="s">
        <v>47</v>
      </c>
      <c r="H25" s="108">
        <v>200</v>
      </c>
      <c r="I25" s="132" t="s">
        <v>48</v>
      </c>
      <c r="J25" s="43">
        <f>SelBurr(D25,H25)</f>
        <v>1.742226477639604</v>
      </c>
      <c r="K25" s="39"/>
      <c r="L25" s="39"/>
      <c r="M25" s="39"/>
      <c r="N25" s="109">
        <f>D25</f>
        <v>20</v>
      </c>
      <c r="O25" s="39"/>
      <c r="P25" s="38" t="s">
        <v>41</v>
      </c>
      <c r="Q25" s="93">
        <v>40</v>
      </c>
      <c r="R25" s="43">
        <f t="shared" si="3"/>
        <v>0.5333333333333333</v>
      </c>
      <c r="S25" s="43">
        <f t="shared" si="4"/>
        <v>0.7424974550608172</v>
      </c>
      <c r="T25" s="43">
        <f t="shared" si="5"/>
        <v>0.01543743637652043</v>
      </c>
      <c r="U25" s="39"/>
      <c r="V25" s="156"/>
    </row>
    <row r="26" spans="2:22" ht="13.5">
      <c r="B26" s="133"/>
      <c r="C26" s="97" t="s">
        <v>42</v>
      </c>
      <c r="D26" s="43">
        <f>0.5*SQRT($F$7)</f>
        <v>0.5</v>
      </c>
      <c r="E26" s="39"/>
      <c r="F26" s="39"/>
      <c r="G26" s="39"/>
      <c r="H26" s="53"/>
      <c r="I26" s="97" t="s">
        <v>49</v>
      </c>
      <c r="J26" s="43">
        <f>SQRT(0.5*$F$7+0.25*$H$7+(0.5*$F$7+0.75*$H$7+$J$7)/D23)</f>
        <v>0.9695359714832658</v>
      </c>
      <c r="K26" s="111" t="s">
        <v>140</v>
      </c>
      <c r="L26" s="43">
        <f>D26/J26</f>
        <v>0.5157106231293968</v>
      </c>
      <c r="M26" s="38"/>
      <c r="N26" s="43">
        <f>0.5/N25</f>
        <v>0.025</v>
      </c>
      <c r="O26" s="39"/>
      <c r="P26" s="38" t="s">
        <v>43</v>
      </c>
      <c r="Q26" s="93">
        <v>50</v>
      </c>
      <c r="R26" s="43">
        <f t="shared" si="3"/>
        <v>0.7</v>
      </c>
      <c r="S26" s="43">
        <f t="shared" si="4"/>
        <v>0.8177505663582464</v>
      </c>
      <c r="T26" s="43">
        <f t="shared" si="5"/>
        <v>0.013855011327164928</v>
      </c>
      <c r="U26" s="39"/>
      <c r="V26" s="156"/>
    </row>
    <row r="27" spans="2:22" ht="12.75">
      <c r="B27" s="133"/>
      <c r="C27" s="97"/>
      <c r="D27" s="43"/>
      <c r="E27" s="39"/>
      <c r="F27" s="39"/>
      <c r="G27" s="39"/>
      <c r="H27" s="53"/>
      <c r="I27" s="97"/>
      <c r="J27" s="43"/>
      <c r="K27" s="157"/>
      <c r="L27" s="43"/>
      <c r="M27" s="39"/>
      <c r="N27" s="104">
        <f>D25</f>
        <v>20</v>
      </c>
      <c r="O27" s="41"/>
      <c r="P27" s="38"/>
      <c r="Q27" s="93">
        <v>60</v>
      </c>
      <c r="R27" s="43">
        <f t="shared" si="3"/>
        <v>0.8666666666666667</v>
      </c>
      <c r="S27" s="43">
        <f t="shared" si="4"/>
        <v>0.8768536294388705</v>
      </c>
      <c r="T27" s="43">
        <f t="shared" si="5"/>
        <v>0.012530893823981175</v>
      </c>
      <c r="U27" s="39"/>
      <c r="V27" s="156"/>
    </row>
    <row r="28" spans="2:22" ht="13.5" thickBot="1">
      <c r="B28" s="158"/>
      <c r="C28" s="136"/>
      <c r="D28" s="137"/>
      <c r="E28" s="138"/>
      <c r="F28" s="138"/>
      <c r="G28" s="138"/>
      <c r="H28" s="142"/>
      <c r="I28" s="136"/>
      <c r="J28" s="137"/>
      <c r="K28" s="159"/>
      <c r="L28" s="137"/>
      <c r="M28" s="138"/>
      <c r="N28" s="138"/>
      <c r="O28" s="141"/>
      <c r="P28" s="139"/>
      <c r="Q28" s="160"/>
      <c r="R28" s="138" t="s">
        <v>44</v>
      </c>
      <c r="S28" s="218">
        <f>L26*J25*L$8</f>
        <v>0.8984847024160542</v>
      </c>
      <c r="T28" s="137"/>
      <c r="U28" s="138"/>
      <c r="V28" s="161"/>
    </row>
    <row r="29" spans="2:20" ht="14.25" thickBot="1" thickTop="1">
      <c r="B29" s="15"/>
      <c r="C29" s="10"/>
      <c r="D29" s="9"/>
      <c r="H29" s="12"/>
      <c r="I29" s="10"/>
      <c r="J29" s="9"/>
      <c r="K29" s="7"/>
      <c r="L29" s="9"/>
      <c r="O29" s="6"/>
      <c r="Q29" s="29"/>
      <c r="S29" s="9"/>
      <c r="T29" s="9"/>
    </row>
    <row r="30" spans="1:59" s="37" customFormat="1" ht="15.75" customHeight="1" thickTop="1">
      <c r="A30" s="38"/>
      <c r="B30" s="118" t="s">
        <v>50</v>
      </c>
      <c r="C30" s="119"/>
      <c r="D30" s="119"/>
      <c r="E30" s="119"/>
      <c r="F30" s="119"/>
      <c r="G30" s="119"/>
      <c r="H30" s="119"/>
      <c r="I30" s="119"/>
      <c r="J30" s="121"/>
      <c r="K30" s="119"/>
      <c r="L30" s="121"/>
      <c r="M30" s="119"/>
      <c r="N30" s="119"/>
      <c r="O30" s="123"/>
      <c r="P30" s="119"/>
      <c r="Q30" s="144"/>
      <c r="R30" s="119" t="s">
        <v>213</v>
      </c>
      <c r="S30" s="121"/>
      <c r="T30" s="145" t="s">
        <v>27</v>
      </c>
      <c r="U30" s="146"/>
      <c r="V30" s="147"/>
      <c r="W30" s="38"/>
      <c r="X30" s="38"/>
      <c r="Y30" s="38"/>
      <c r="Z30" s="38"/>
      <c r="AA30" s="38"/>
      <c r="AB30" s="38"/>
      <c r="AC30" s="38"/>
      <c r="AD30" s="38"/>
      <c r="AE30" s="38"/>
      <c r="AF30" s="38"/>
      <c r="AG30" s="38"/>
      <c r="AH30"/>
      <c r="AI30"/>
      <c r="AJ30"/>
      <c r="AK30"/>
      <c r="AL30"/>
      <c r="AM30"/>
      <c r="AN30"/>
      <c r="AO30"/>
      <c r="AP30"/>
      <c r="AQ30"/>
      <c r="AR30"/>
      <c r="AS30"/>
      <c r="AT30"/>
      <c r="AU30"/>
      <c r="AV30"/>
      <c r="AW30"/>
      <c r="AX30"/>
      <c r="AY30"/>
      <c r="AZ30"/>
      <c r="BA30"/>
      <c r="BB30"/>
      <c r="BC30"/>
      <c r="BD30"/>
      <c r="BE30"/>
      <c r="BF30"/>
      <c r="BG30"/>
    </row>
    <row r="31" spans="2:22" ht="12.75">
      <c r="B31" s="126"/>
      <c r="C31" s="45" t="s">
        <v>28</v>
      </c>
      <c r="D31" s="38"/>
      <c r="E31" s="38"/>
      <c r="F31" s="38"/>
      <c r="G31" s="38"/>
      <c r="H31" s="38"/>
      <c r="I31" s="38"/>
      <c r="J31" s="91" t="s">
        <v>29</v>
      </c>
      <c r="K31" s="127" t="s">
        <v>185</v>
      </c>
      <c r="L31" s="92">
        <f>L$8*L$5*(L35+L38)</f>
        <v>0.9707995400023786</v>
      </c>
      <c r="M31" s="38"/>
      <c r="N31" s="38"/>
      <c r="O31" s="41">
        <f>D32*H35*G32</f>
        <v>2500</v>
      </c>
      <c r="P31" s="38" t="s">
        <v>30</v>
      </c>
      <c r="Q31" s="93">
        <v>10</v>
      </c>
      <c r="R31" s="43">
        <f aca="true" t="shared" si="6" ref="R31:R37">(Q31-U$31-V$31)/$Q$8</f>
        <v>0.03333333333333333</v>
      </c>
      <c r="S31" s="43">
        <f aca="true" t="shared" si="7" ref="S31:S37">rg(R31)*S$38</f>
        <v>0.10057483234424641</v>
      </c>
      <c r="T31" s="217">
        <f aca="true" t="shared" si="8" ref="T31:T37">S31-O$38/2</f>
        <v>-0.3994251676557536</v>
      </c>
      <c r="U31" s="94">
        <v>5</v>
      </c>
      <c r="V31" s="128">
        <v>3</v>
      </c>
    </row>
    <row r="32" spans="2:22" ht="12.75">
      <c r="B32" s="129"/>
      <c r="C32" s="97" t="s">
        <v>31</v>
      </c>
      <c r="D32" s="108">
        <v>25</v>
      </c>
      <c r="E32" s="39"/>
      <c r="F32" s="97" t="s">
        <v>51</v>
      </c>
      <c r="G32" s="108">
        <v>1</v>
      </c>
      <c r="H32" s="38" t="s">
        <v>52</v>
      </c>
      <c r="I32" s="45"/>
      <c r="J32" s="101"/>
      <c r="K32" s="148" t="s">
        <v>120</v>
      </c>
      <c r="L32" s="149">
        <f>L31-O38/2</f>
        <v>0.47079954000237856</v>
      </c>
      <c r="M32" s="38"/>
      <c r="N32" s="38"/>
      <c r="O32" s="102">
        <f>$O$5+H35*($O$7+D32*G32*$O$6)</f>
        <v>3500</v>
      </c>
      <c r="P32" s="38" t="s">
        <v>45</v>
      </c>
      <c r="Q32" s="93">
        <v>20</v>
      </c>
      <c r="R32" s="43">
        <f t="shared" si="6"/>
        <v>0.2</v>
      </c>
      <c r="S32" s="43">
        <f t="shared" si="7"/>
        <v>0.508983522605975</v>
      </c>
      <c r="T32" s="217">
        <f t="shared" si="8"/>
        <v>0.008983522605975014</v>
      </c>
      <c r="U32" s="47" t="s">
        <v>197</v>
      </c>
      <c r="V32" s="130"/>
    </row>
    <row r="33" spans="2:22" ht="12.75">
      <c r="B33" s="129"/>
      <c r="C33" s="97" t="s">
        <v>53</v>
      </c>
      <c r="D33" s="108">
        <v>100</v>
      </c>
      <c r="E33" s="38"/>
      <c r="F33" s="97" t="s">
        <v>32</v>
      </c>
      <c r="G33" s="104">
        <f>D35*D38</f>
        <v>30</v>
      </c>
      <c r="H33" s="38" t="s">
        <v>33</v>
      </c>
      <c r="I33" s="105">
        <f>D33*D32</f>
        <v>2500</v>
      </c>
      <c r="J33" s="38" t="s">
        <v>34</v>
      </c>
      <c r="K33" s="38"/>
      <c r="L33" s="101"/>
      <c r="M33" s="38"/>
      <c r="N33" s="38"/>
      <c r="O33" s="41"/>
      <c r="P33" s="38" t="s">
        <v>54</v>
      </c>
      <c r="Q33" s="93">
        <v>30</v>
      </c>
      <c r="R33" s="43">
        <f t="shared" si="6"/>
        <v>0.36666666666666664</v>
      </c>
      <c r="S33" s="43">
        <f t="shared" si="7"/>
        <v>0.6902219212657655</v>
      </c>
      <c r="T33" s="217">
        <f t="shared" si="8"/>
        <v>0.19022192126576554</v>
      </c>
      <c r="U33" s="38"/>
      <c r="V33" s="130"/>
    </row>
    <row r="34" spans="2:22" ht="11.25">
      <c r="B34" s="150"/>
      <c r="C34" s="45" t="s">
        <v>55</v>
      </c>
      <c r="D34" s="38"/>
      <c r="E34" s="38"/>
      <c r="F34" s="97" t="s">
        <v>56</v>
      </c>
      <c r="G34" s="151">
        <f>$F$7/($F$7+$H$7+$J$7/G32)</f>
        <v>0.1</v>
      </c>
      <c r="H34" s="152" t="s">
        <v>57</v>
      </c>
      <c r="I34" s="38"/>
      <c r="J34" s="54"/>
      <c r="K34" s="38"/>
      <c r="L34" s="54"/>
      <c r="M34" s="38"/>
      <c r="N34" s="38"/>
      <c r="O34" s="41"/>
      <c r="P34" s="38"/>
      <c r="Q34" s="93">
        <v>40</v>
      </c>
      <c r="R34" s="43">
        <f t="shared" si="6"/>
        <v>0.5333333333333333</v>
      </c>
      <c r="S34" s="43">
        <f t="shared" si="7"/>
        <v>0.8022576076005303</v>
      </c>
      <c r="T34" s="217">
        <f t="shared" si="8"/>
        <v>0.30225760760053033</v>
      </c>
      <c r="U34" s="38"/>
      <c r="V34" s="130"/>
    </row>
    <row r="35" spans="2:22" ht="13.5">
      <c r="B35" s="129"/>
      <c r="C35" s="106" t="s">
        <v>38</v>
      </c>
      <c r="D35" s="108">
        <v>10</v>
      </c>
      <c r="E35" s="39"/>
      <c r="F35" s="39"/>
      <c r="G35" s="97" t="s">
        <v>59</v>
      </c>
      <c r="H35" s="153">
        <f>D33</f>
        <v>100</v>
      </c>
      <c r="I35" s="97" t="s">
        <v>48</v>
      </c>
      <c r="J35" s="43">
        <f>SelBurr(D35,H35)</f>
        <v>1.729595932727645</v>
      </c>
      <c r="K35" s="111" t="s">
        <v>143</v>
      </c>
      <c r="L35" s="43">
        <f>J35*L36</f>
        <v>0.6053585764546757</v>
      </c>
      <c r="M35" s="38"/>
      <c r="N35" s="41">
        <f>D38/(0.75+0.25*D38)</f>
        <v>2</v>
      </c>
      <c r="O35" s="39"/>
      <c r="P35" s="38" t="s">
        <v>188</v>
      </c>
      <c r="Q35" s="93">
        <v>50</v>
      </c>
      <c r="R35" s="43">
        <f t="shared" si="6"/>
        <v>0.7</v>
      </c>
      <c r="S35" s="43">
        <f t="shared" si="7"/>
        <v>0.8835674903785486</v>
      </c>
      <c r="T35" s="217">
        <f t="shared" si="8"/>
        <v>0.38356749037854865</v>
      </c>
      <c r="U35" s="38"/>
      <c r="V35" s="130"/>
    </row>
    <row r="36" spans="2:22" ht="13.5">
      <c r="B36" s="129"/>
      <c r="C36" s="97" t="s">
        <v>61</v>
      </c>
      <c r="D36" s="43">
        <f>(0.25+0.75/$D$32)*SQRT($F$7)</f>
        <v>0.28</v>
      </c>
      <c r="E36" s="39"/>
      <c r="F36" s="38"/>
      <c r="G36" s="38"/>
      <c r="H36" s="38"/>
      <c r="I36" s="97" t="s">
        <v>62</v>
      </c>
      <c r="J36" s="43">
        <f>SQRT(0.25*$F$7+(0.75*$F$7+$H$7+$J$7/G32)/D32)</f>
        <v>0.8</v>
      </c>
      <c r="K36" s="111" t="s">
        <v>142</v>
      </c>
      <c r="L36" s="43">
        <f>D36/J36</f>
        <v>0.35000000000000003</v>
      </c>
      <c r="M36" s="38"/>
      <c r="N36" s="102">
        <f>N35*D35</f>
        <v>20</v>
      </c>
      <c r="O36" s="39"/>
      <c r="P36" s="38" t="s">
        <v>191</v>
      </c>
      <c r="Q36" s="93">
        <v>60</v>
      </c>
      <c r="R36" s="43">
        <f t="shared" si="6"/>
        <v>0.8666666666666667</v>
      </c>
      <c r="S36" s="43">
        <f t="shared" si="7"/>
        <v>0.9474274829828881</v>
      </c>
      <c r="T36" s="217">
        <f t="shared" si="8"/>
        <v>0.44742748298288815</v>
      </c>
      <c r="U36" s="38"/>
      <c r="V36" s="130"/>
    </row>
    <row r="37" spans="2:22" ht="12.75">
      <c r="B37" s="150"/>
      <c r="C37" s="45" t="s">
        <v>64</v>
      </c>
      <c r="D37" s="38"/>
      <c r="E37" s="38"/>
      <c r="F37" s="38"/>
      <c r="G37" s="38"/>
      <c r="H37" s="38"/>
      <c r="I37" s="38"/>
      <c r="J37" s="54"/>
      <c r="K37" s="134"/>
      <c r="L37" s="54"/>
      <c r="M37" s="38"/>
      <c r="N37" s="43">
        <f>0.5/N36</f>
        <v>0.025</v>
      </c>
      <c r="O37" s="39"/>
      <c r="P37" s="38" t="s">
        <v>43</v>
      </c>
      <c r="Q37" s="93">
        <v>70</v>
      </c>
      <c r="R37" s="43">
        <f t="shared" si="6"/>
        <v>1.0333333333333334</v>
      </c>
      <c r="S37" s="43">
        <f t="shared" si="7"/>
        <v>0.9707995400023786</v>
      </c>
      <c r="T37" s="217">
        <f t="shared" si="8"/>
        <v>0.47079954000237856</v>
      </c>
      <c r="U37" s="38"/>
      <c r="V37" s="130"/>
    </row>
    <row r="38" spans="2:22" ht="13.5" customHeight="1">
      <c r="B38" s="129"/>
      <c r="C38" s="106" t="s">
        <v>65</v>
      </c>
      <c r="D38" s="108">
        <v>3</v>
      </c>
      <c r="E38" s="38" t="s">
        <v>66</v>
      </c>
      <c r="F38" s="38"/>
      <c r="G38" s="38"/>
      <c r="H38" s="41">
        <f>D32</f>
        <v>25</v>
      </c>
      <c r="I38" s="97" t="s">
        <v>48</v>
      </c>
      <c r="J38" s="43">
        <f>SelBurr(D38,H38)</f>
        <v>1.5824057900788682</v>
      </c>
      <c r="K38" s="111" t="s">
        <v>144</v>
      </c>
      <c r="L38" s="43">
        <f>J38*L39</f>
        <v>0.3654409635477028</v>
      </c>
      <c r="M38" s="38"/>
      <c r="N38" s="38"/>
      <c r="O38" s="221">
        <v>1</v>
      </c>
      <c r="P38" s="57"/>
      <c r="Q38" s="53"/>
      <c r="R38" s="39" t="s">
        <v>44</v>
      </c>
      <c r="S38" s="220">
        <f>(L$35+L$38)*L$8</f>
        <v>0.9707995400023786</v>
      </c>
      <c r="T38" s="43"/>
      <c r="U38" s="38"/>
      <c r="V38" s="130"/>
    </row>
    <row r="39" spans="2:22" ht="14.25" thickBot="1">
      <c r="B39" s="135"/>
      <c r="C39" s="136" t="s">
        <v>67</v>
      </c>
      <c r="D39" s="137">
        <f>0.75*(1-1/$D$32)*SQRT($F$7)</f>
        <v>0.72</v>
      </c>
      <c r="E39" s="138"/>
      <c r="F39" s="139"/>
      <c r="G39" s="139"/>
      <c r="H39" s="138"/>
      <c r="I39" s="136" t="s">
        <v>68</v>
      </c>
      <c r="J39" s="137">
        <f>SQRT(0.75*$F$7*(1-1/D32)+$H$7+$J$7/G32)</f>
        <v>3.117691453623979</v>
      </c>
      <c r="K39" s="140" t="s">
        <v>142</v>
      </c>
      <c r="L39" s="137">
        <f>D39/J39</f>
        <v>0.2309401076758503</v>
      </c>
      <c r="M39" s="139"/>
      <c r="N39" s="155">
        <f>D38*D35</f>
        <v>30</v>
      </c>
      <c r="O39" s="141"/>
      <c r="P39" s="139" t="s">
        <v>190</v>
      </c>
      <c r="Q39" s="141">
        <f>0.125*(D38-1)/N39</f>
        <v>0.008333333333333333</v>
      </c>
      <c r="R39" s="139"/>
      <c r="S39" s="139" t="s">
        <v>214</v>
      </c>
      <c r="T39" s="139"/>
      <c r="U39" s="139"/>
      <c r="V39" s="143"/>
    </row>
    <row r="40" spans="10:17" ht="12.75" thickTop="1">
      <c r="J40" s="8"/>
      <c r="K40" s="79"/>
      <c r="L40" s="9"/>
      <c r="O40" s="6"/>
      <c r="Q40" s="12"/>
    </row>
    <row r="41" spans="10:17" ht="12" thickBot="1">
      <c r="J41" s="8"/>
      <c r="O41" s="6"/>
      <c r="Q41" s="12"/>
    </row>
    <row r="42" spans="1:59" s="37" customFormat="1" ht="13.5" thickTop="1">
      <c r="A42" s="38"/>
      <c r="B42" s="118" t="s">
        <v>69</v>
      </c>
      <c r="C42" s="119"/>
      <c r="D42" s="120"/>
      <c r="E42" s="119"/>
      <c r="F42" s="119"/>
      <c r="G42" s="119"/>
      <c r="H42" s="119"/>
      <c r="I42" s="119"/>
      <c r="J42" s="121"/>
      <c r="K42" s="122"/>
      <c r="L42" s="119"/>
      <c r="M42" s="119"/>
      <c r="N42" s="119"/>
      <c r="O42" s="123"/>
      <c r="P42" s="119"/>
      <c r="Q42" s="124"/>
      <c r="R42" s="119"/>
      <c r="S42" s="119"/>
      <c r="T42" s="119" t="s">
        <v>118</v>
      </c>
      <c r="U42" s="119"/>
      <c r="V42" s="125"/>
      <c r="W42" s="38"/>
      <c r="X42" s="38"/>
      <c r="Y42" s="38"/>
      <c r="Z42" s="38"/>
      <c r="AA42" s="38"/>
      <c r="AB42" s="38"/>
      <c r="AC42" s="38"/>
      <c r="AD42" s="38"/>
      <c r="AE42" s="38"/>
      <c r="AF42" s="38"/>
      <c r="AG42" s="38"/>
      <c r="AH42" s="39"/>
      <c r="AI42"/>
      <c r="AJ42"/>
      <c r="AK42"/>
      <c r="AL42"/>
      <c r="AM42"/>
      <c r="AN42"/>
      <c r="AO42"/>
      <c r="AP42"/>
      <c r="AQ42"/>
      <c r="AR42"/>
      <c r="AS42"/>
      <c r="AT42"/>
      <c r="AU42"/>
      <c r="AV42"/>
      <c r="AW42"/>
      <c r="AX42"/>
      <c r="AY42"/>
      <c r="AZ42"/>
      <c r="BA42"/>
      <c r="BB42"/>
      <c r="BC42"/>
      <c r="BD42"/>
      <c r="BE42"/>
      <c r="BF42"/>
      <c r="BG42"/>
    </row>
    <row r="43" spans="2:22" ht="13.5" thickBot="1">
      <c r="B43" s="126"/>
      <c r="C43" s="45" t="s">
        <v>28</v>
      </c>
      <c r="D43" s="38"/>
      <c r="E43" s="39"/>
      <c r="F43" s="39"/>
      <c r="G43" s="38"/>
      <c r="H43" s="38"/>
      <c r="I43" s="38"/>
      <c r="J43" s="91" t="s">
        <v>29</v>
      </c>
      <c r="K43" s="127" t="s">
        <v>186</v>
      </c>
      <c r="L43" s="92">
        <f>L$8*L$5*(L47+L50)</f>
        <v>1.0835985127059244</v>
      </c>
      <c r="M43" s="38"/>
      <c r="N43" s="38"/>
      <c r="O43" s="41">
        <f>D44*D45*G44</f>
        <v>2520</v>
      </c>
      <c r="P43" s="38" t="s">
        <v>30</v>
      </c>
      <c r="Q43" s="93">
        <v>20</v>
      </c>
      <c r="R43" s="43">
        <f aca="true" t="shared" si="9" ref="R43:R49">(Q43-U$43-V$43)/$Q$8</f>
        <v>0.08333333333333333</v>
      </c>
      <c r="S43" s="43">
        <f aca="true" t="shared" si="10" ref="S43:S49">rg(R43)*S$50</f>
        <v>0.28065201479083446</v>
      </c>
      <c r="T43" s="43">
        <f aca="true" t="shared" si="11" ref="T43:T49">(S43-$T$10*$N$49)/Q43</f>
        <v>0.007782600739541723</v>
      </c>
      <c r="U43" s="94">
        <v>12</v>
      </c>
      <c r="V43" s="128">
        <v>3</v>
      </c>
    </row>
    <row r="44" spans="2:22" ht="13.5" thickTop="1">
      <c r="B44" s="129"/>
      <c r="C44" s="97" t="s">
        <v>31</v>
      </c>
      <c r="D44" s="108">
        <v>30</v>
      </c>
      <c r="E44" s="38"/>
      <c r="F44" s="97" t="s">
        <v>51</v>
      </c>
      <c r="G44" s="108">
        <v>1</v>
      </c>
      <c r="H44" s="38" t="s">
        <v>52</v>
      </c>
      <c r="I44" s="100"/>
      <c r="J44" s="101"/>
      <c r="K44" s="39"/>
      <c r="L44" s="101"/>
      <c r="M44" s="38"/>
      <c r="N44" s="38"/>
      <c r="O44" s="102">
        <f>$O$5+I46*($O$7+$O$6*D44*G44/2)</f>
        <v>4200</v>
      </c>
      <c r="P44" s="38" t="s">
        <v>45</v>
      </c>
      <c r="Q44" s="93">
        <v>30</v>
      </c>
      <c r="R44" s="43">
        <f t="shared" si="9"/>
        <v>0.25</v>
      </c>
      <c r="S44" s="43">
        <f t="shared" si="10"/>
        <v>0.6425970385323491</v>
      </c>
      <c r="T44" s="43">
        <f t="shared" si="11"/>
        <v>0.01725323461774497</v>
      </c>
      <c r="U44" s="38"/>
      <c r="V44" s="165" t="s">
        <v>196</v>
      </c>
    </row>
    <row r="45" spans="2:22" ht="12.75">
      <c r="B45" s="129"/>
      <c r="C45" s="97" t="s">
        <v>53</v>
      </c>
      <c r="D45" s="108">
        <v>84</v>
      </c>
      <c r="E45" s="38"/>
      <c r="F45" s="97" t="s">
        <v>32</v>
      </c>
      <c r="G45" s="104">
        <f>D47*D50</f>
        <v>30</v>
      </c>
      <c r="H45" s="38" t="s">
        <v>33</v>
      </c>
      <c r="I45" s="105">
        <f>D45*D44</f>
        <v>2520</v>
      </c>
      <c r="J45" s="38" t="s">
        <v>34</v>
      </c>
      <c r="K45" s="38"/>
      <c r="L45" s="101"/>
      <c r="M45" s="38"/>
      <c r="N45" s="38"/>
      <c r="O45" s="41"/>
      <c r="P45" s="38" t="s">
        <v>70</v>
      </c>
      <c r="Q45" s="93">
        <v>40</v>
      </c>
      <c r="R45" s="43">
        <f t="shared" si="9"/>
        <v>0.4166666666666667</v>
      </c>
      <c r="S45" s="43">
        <f t="shared" si="10"/>
        <v>0.8130842434711394</v>
      </c>
      <c r="T45" s="43">
        <f t="shared" si="11"/>
        <v>0.017202106086778485</v>
      </c>
      <c r="U45" s="38"/>
      <c r="V45" s="130"/>
    </row>
    <row r="46" spans="2:22" ht="12.75">
      <c r="B46" s="129"/>
      <c r="C46" s="45" t="s">
        <v>55</v>
      </c>
      <c r="D46" s="39"/>
      <c r="E46" s="38"/>
      <c r="F46" s="38"/>
      <c r="G46" s="39"/>
      <c r="H46" s="97" t="s">
        <v>71</v>
      </c>
      <c r="I46" s="131">
        <f>D45*2</f>
        <v>168</v>
      </c>
      <c r="J46" s="39" t="s">
        <v>72</v>
      </c>
      <c r="K46" s="38"/>
      <c r="L46" s="38"/>
      <c r="M46" s="38"/>
      <c r="N46" s="38"/>
      <c r="O46" s="41"/>
      <c r="P46" s="38"/>
      <c r="Q46" s="93">
        <v>50</v>
      </c>
      <c r="R46" s="43">
        <f t="shared" si="9"/>
        <v>0.5833333333333334</v>
      </c>
      <c r="S46" s="43">
        <f t="shared" si="10"/>
        <v>0.9253812945433706</v>
      </c>
      <c r="T46" s="43">
        <f t="shared" si="11"/>
        <v>0.016007625890867412</v>
      </c>
      <c r="U46" s="38"/>
      <c r="V46" s="130"/>
    </row>
    <row r="47" spans="2:22" ht="13.5">
      <c r="B47" s="129"/>
      <c r="C47" s="106" t="s">
        <v>38</v>
      </c>
      <c r="D47" s="107">
        <v>15</v>
      </c>
      <c r="E47" s="39"/>
      <c r="F47" s="39"/>
      <c r="G47" s="97" t="s">
        <v>74</v>
      </c>
      <c r="H47" s="41">
        <f>D45</f>
        <v>84</v>
      </c>
      <c r="I47" s="132" t="s">
        <v>48</v>
      </c>
      <c r="J47" s="43">
        <f>SelBurr(D47,H47)</f>
        <v>1.4435885020958474</v>
      </c>
      <c r="K47" s="111" t="s">
        <v>143</v>
      </c>
      <c r="L47" s="43">
        <f>J47*L48</f>
        <v>0.7964039925032902</v>
      </c>
      <c r="M47" s="38"/>
      <c r="N47" s="43">
        <f>2*D50/(1+D50)</f>
        <v>1.3333333333333333</v>
      </c>
      <c r="O47" s="39"/>
      <c r="P47" s="38" t="s">
        <v>189</v>
      </c>
      <c r="Q47" s="93">
        <v>60</v>
      </c>
      <c r="R47" s="43">
        <f t="shared" si="9"/>
        <v>0.75</v>
      </c>
      <c r="S47" s="43">
        <f t="shared" si="10"/>
        <v>1.0092570682810433</v>
      </c>
      <c r="T47" s="43">
        <f t="shared" si="11"/>
        <v>0.014737617804684055</v>
      </c>
      <c r="U47" s="38"/>
      <c r="V47" s="130"/>
    </row>
    <row r="48" spans="2:22" ht="13.5">
      <c r="B48" s="133"/>
      <c r="C48" s="97" t="s">
        <v>76</v>
      </c>
      <c r="D48" s="43">
        <f>0.5*(1+1/D44)*SQRT($F$7)</f>
        <v>0.5166666666666667</v>
      </c>
      <c r="E48" s="39"/>
      <c r="F48" s="39"/>
      <c r="G48" s="39"/>
      <c r="H48" s="53"/>
      <c r="I48" s="97" t="s">
        <v>112</v>
      </c>
      <c r="J48" s="43">
        <f>SQRT(0.5*$F$7*(1+1/D44)+$H$7/4+(0.75*$H$7+$J$7/G44)/D44)</f>
        <v>0.9365272731390867</v>
      </c>
      <c r="K48" s="111" t="s">
        <v>142</v>
      </c>
      <c r="L48" s="43">
        <f>D$48/J$48</f>
        <v>0.551683524319462</v>
      </c>
      <c r="M48" s="38"/>
      <c r="N48" s="102">
        <f>N47*D47</f>
        <v>20</v>
      </c>
      <c r="O48" s="39"/>
      <c r="P48" s="38" t="s">
        <v>77</v>
      </c>
      <c r="Q48" s="93">
        <v>70</v>
      </c>
      <c r="R48" s="43">
        <f t="shared" si="9"/>
        <v>0.9166666666666666</v>
      </c>
      <c r="S48" s="43">
        <f t="shared" si="10"/>
        <v>1.0727625275788653</v>
      </c>
      <c r="T48" s="43">
        <f t="shared" si="11"/>
        <v>0.013539464679698075</v>
      </c>
      <c r="U48" s="38"/>
      <c r="V48" s="130"/>
    </row>
    <row r="49" spans="2:22" ht="12.75">
      <c r="B49" s="129"/>
      <c r="C49" s="45" t="s">
        <v>64</v>
      </c>
      <c r="D49" s="38"/>
      <c r="E49" s="38"/>
      <c r="F49" s="38"/>
      <c r="G49" s="38"/>
      <c r="H49" s="38"/>
      <c r="I49" s="38"/>
      <c r="J49" s="54"/>
      <c r="K49" s="134"/>
      <c r="L49" s="54"/>
      <c r="M49" s="38"/>
      <c r="N49" s="43">
        <f>0.5/N48</f>
        <v>0.025</v>
      </c>
      <c r="O49" s="39"/>
      <c r="P49" s="38" t="s">
        <v>43</v>
      </c>
      <c r="Q49" s="93">
        <v>80</v>
      </c>
      <c r="R49" s="43">
        <f t="shared" si="9"/>
        <v>1.0833333333333333</v>
      </c>
      <c r="S49" s="43">
        <f t="shared" si="10"/>
        <v>1.0835985127059244</v>
      </c>
      <c r="T49" s="43">
        <f t="shared" si="11"/>
        <v>0.011982481408824056</v>
      </c>
      <c r="U49" s="38"/>
      <c r="V49" s="130"/>
    </row>
    <row r="50" spans="2:22" ht="13.5">
      <c r="B50" s="129"/>
      <c r="C50" s="106" t="s">
        <v>65</v>
      </c>
      <c r="D50" s="108">
        <v>2</v>
      </c>
      <c r="E50" s="39"/>
      <c r="F50" s="38"/>
      <c r="G50" s="100" t="s">
        <v>86</v>
      </c>
      <c r="H50" s="41">
        <f>D44</f>
        <v>30</v>
      </c>
      <c r="I50" s="38" t="s">
        <v>79</v>
      </c>
      <c r="J50" s="43">
        <f>SelBurr(D50,H50)</f>
        <v>1.8231817024137225</v>
      </c>
      <c r="K50" s="111" t="s">
        <v>144</v>
      </c>
      <c r="L50" s="43">
        <f>J50*L51</f>
        <v>0.28719452020263425</v>
      </c>
      <c r="M50" s="38"/>
      <c r="N50" s="104">
        <f>D47*D50</f>
        <v>30</v>
      </c>
      <c r="O50" s="41"/>
      <c r="P50" s="38" t="s">
        <v>116</v>
      </c>
      <c r="Q50" s="42"/>
      <c r="R50" s="39" t="s">
        <v>44</v>
      </c>
      <c r="S50" s="222">
        <f>(L47+L50)*L$8</f>
        <v>1.0835985127059244</v>
      </c>
      <c r="T50" s="38"/>
      <c r="U50" s="38"/>
      <c r="V50" s="130"/>
    </row>
    <row r="51" spans="2:59" s="12" customFormat="1" ht="14.25" thickBot="1">
      <c r="B51" s="135"/>
      <c r="C51" s="136" t="s">
        <v>80</v>
      </c>
      <c r="D51" s="137">
        <f>0.5*SQRT(F$7)*(1-1/D44)</f>
        <v>0.48333333333333334</v>
      </c>
      <c r="E51" s="138"/>
      <c r="F51" s="139"/>
      <c r="G51" s="139"/>
      <c r="H51" s="139"/>
      <c r="I51" s="136" t="s">
        <v>81</v>
      </c>
      <c r="J51" s="137">
        <f>SQRT((0.5*$F$7+0.75*$H$7)*(1-1/D44)+$J$7/G44)</f>
        <v>3.0683193010723855</v>
      </c>
      <c r="K51" s="140" t="s">
        <v>142</v>
      </c>
      <c r="L51" s="137">
        <f>D51/J51</f>
        <v>0.15752380567576754</v>
      </c>
      <c r="M51" s="139"/>
      <c r="N51" s="139"/>
      <c r="O51" s="141"/>
      <c r="P51" s="139" t="s">
        <v>190</v>
      </c>
      <c r="Q51" s="141">
        <f>0.25*(D50-1)/N50</f>
        <v>0.008333333333333333</v>
      </c>
      <c r="R51" s="142"/>
      <c r="S51" s="142"/>
      <c r="T51" s="142"/>
      <c r="U51" s="139"/>
      <c r="V51" s="143"/>
      <c r="W51" s="1"/>
      <c r="AH51"/>
      <c r="AI51"/>
      <c r="AJ51"/>
      <c r="AK51"/>
      <c r="AL51"/>
      <c r="AM51"/>
      <c r="AN51"/>
      <c r="AO51"/>
      <c r="AP51"/>
      <c r="AQ51"/>
      <c r="AR51"/>
      <c r="AS51"/>
      <c r="AT51"/>
      <c r="AU51"/>
      <c r="AV51"/>
      <c r="AW51"/>
      <c r="AX51"/>
      <c r="AY51"/>
      <c r="AZ51"/>
      <c r="BA51"/>
      <c r="BB51"/>
      <c r="BC51"/>
      <c r="BD51"/>
      <c r="BE51"/>
      <c r="BF51"/>
      <c r="BG51"/>
    </row>
    <row r="52" spans="5:22" ht="13.5" thickTop="1">
      <c r="E52" s="39"/>
      <c r="O52" s="6"/>
      <c r="Q52" s="29"/>
      <c r="U52" s="12"/>
      <c r="V52" s="12"/>
    </row>
    <row r="53" spans="13:17" ht="13.5" thickBot="1">
      <c r="M53"/>
      <c r="N53"/>
      <c r="O53" s="6"/>
      <c r="Q53" s="29"/>
    </row>
    <row r="54" spans="1:59" s="37" customFormat="1" ht="13.5" thickTop="1">
      <c r="A54" s="38"/>
      <c r="B54" s="84" t="s">
        <v>82</v>
      </c>
      <c r="C54" s="85"/>
      <c r="D54" s="86"/>
      <c r="E54" s="85"/>
      <c r="F54" s="85"/>
      <c r="G54" s="85"/>
      <c r="H54" s="85"/>
      <c r="I54" s="85"/>
      <c r="J54" s="85"/>
      <c r="K54" s="85"/>
      <c r="L54" s="85"/>
      <c r="M54" s="85"/>
      <c r="N54" s="85"/>
      <c r="O54" s="87"/>
      <c r="P54" s="85"/>
      <c r="Q54" s="88"/>
      <c r="R54" s="85"/>
      <c r="S54" s="85"/>
      <c r="T54" s="85" t="s">
        <v>118</v>
      </c>
      <c r="U54" s="85"/>
      <c r="V54" s="89"/>
      <c r="W54" s="38"/>
      <c r="X54" s="38"/>
      <c r="Y54" s="38"/>
      <c r="Z54" s="38"/>
      <c r="AA54" s="38"/>
      <c r="AB54" s="38"/>
      <c r="AC54" s="38"/>
      <c r="AD54" s="38"/>
      <c r="AE54" s="38"/>
      <c r="AF54" s="38"/>
      <c r="AG54" s="38"/>
      <c r="AH54" s="39"/>
      <c r="AI54" s="39"/>
      <c r="AJ54"/>
      <c r="AK54"/>
      <c r="AL54"/>
      <c r="AM54"/>
      <c r="AN54"/>
      <c r="AO54"/>
      <c r="AP54"/>
      <c r="AQ54"/>
      <c r="AR54"/>
      <c r="AS54"/>
      <c r="AT54"/>
      <c r="AU54"/>
      <c r="AV54"/>
      <c r="AW54"/>
      <c r="AX54"/>
      <c r="AY54"/>
      <c r="AZ54"/>
      <c r="BA54"/>
      <c r="BB54"/>
      <c r="BC54"/>
      <c r="BD54"/>
      <c r="BE54"/>
      <c r="BF54"/>
      <c r="BG54"/>
    </row>
    <row r="55" spans="2:22" ht="13.5">
      <c r="B55" s="90"/>
      <c r="C55" s="45" t="s">
        <v>28</v>
      </c>
      <c r="D55" s="38"/>
      <c r="E55" s="39"/>
      <c r="F55" s="39"/>
      <c r="G55" s="38"/>
      <c r="H55" s="38"/>
      <c r="I55" s="38"/>
      <c r="J55" s="91" t="s">
        <v>29</v>
      </c>
      <c r="K55" s="91" t="s">
        <v>187</v>
      </c>
      <c r="L55" s="92">
        <f>L$8*L$5*J58*L59</f>
        <v>1.266345835452319</v>
      </c>
      <c r="M55" s="39"/>
      <c r="N55" s="39"/>
      <c r="O55" s="41">
        <f>H58*G56</f>
        <v>2500</v>
      </c>
      <c r="P55" s="38" t="s">
        <v>30</v>
      </c>
      <c r="Q55" s="93">
        <v>10</v>
      </c>
      <c r="R55" s="43">
        <f aca="true" t="shared" si="12" ref="R55:R60">(Q55-U$55-V$55)/$Q$8</f>
        <v>0.03333333333333333</v>
      </c>
      <c r="S55" s="43">
        <f>rg(R55)*S$61</f>
        <v>0.13119342855286023</v>
      </c>
      <c r="T55" s="43">
        <f aca="true" t="shared" si="13" ref="T55:T60">(S55-$T$10*$N$59)/Q55</f>
        <v>0.000619342855286023</v>
      </c>
      <c r="U55" s="94">
        <v>5</v>
      </c>
      <c r="V55" s="95">
        <v>3</v>
      </c>
    </row>
    <row r="56" spans="2:22" ht="12.75">
      <c r="B56" s="96"/>
      <c r="C56" s="97"/>
      <c r="D56" s="98"/>
      <c r="E56" s="38"/>
      <c r="F56" s="97" t="s">
        <v>51</v>
      </c>
      <c r="G56" s="99">
        <v>10</v>
      </c>
      <c r="H56" s="38" t="s">
        <v>52</v>
      </c>
      <c r="I56" s="100"/>
      <c r="J56" s="39"/>
      <c r="K56" s="39"/>
      <c r="L56" s="101"/>
      <c r="M56" s="39"/>
      <c r="N56" s="39"/>
      <c r="O56" s="102">
        <f>$O$5+H58*(G56*$O$6+$O$7)</f>
        <v>5000</v>
      </c>
      <c r="P56" s="38" t="s">
        <v>83</v>
      </c>
      <c r="Q56" s="93">
        <v>20</v>
      </c>
      <c r="R56" s="43">
        <f t="shared" si="12"/>
        <v>0.2</v>
      </c>
      <c r="S56" s="43">
        <f>rg(R56)*S$61</f>
        <v>0.6639364128297264</v>
      </c>
      <c r="T56" s="43">
        <f t="shared" si="13"/>
        <v>0.02694682064148632</v>
      </c>
      <c r="U56" s="38"/>
      <c r="V56" s="103"/>
    </row>
    <row r="57" spans="2:22" ht="12.75">
      <c r="B57" s="96"/>
      <c r="C57" s="45" t="s">
        <v>84</v>
      </c>
      <c r="D57" s="39"/>
      <c r="E57" s="38"/>
      <c r="F57" s="97" t="s">
        <v>32</v>
      </c>
      <c r="G57" s="104">
        <f>D58</f>
        <v>20</v>
      </c>
      <c r="H57" s="38" t="s">
        <v>33</v>
      </c>
      <c r="I57" s="105">
        <f>H58</f>
        <v>250</v>
      </c>
      <c r="J57" s="38" t="s">
        <v>34</v>
      </c>
      <c r="K57" s="38"/>
      <c r="L57" s="101"/>
      <c r="M57" s="39"/>
      <c r="N57" s="39"/>
      <c r="O57" s="41"/>
      <c r="P57" s="38" t="s">
        <v>104</v>
      </c>
      <c r="Q57" s="93">
        <v>30</v>
      </c>
      <c r="R57" s="43">
        <f t="shared" si="12"/>
        <v>0.36666666666666664</v>
      </c>
      <c r="S57" s="43">
        <f>rg(R57)*S$61</f>
        <v>0.900350298405229</v>
      </c>
      <c r="T57" s="43">
        <f t="shared" si="13"/>
        <v>0.025845009946840965</v>
      </c>
      <c r="U57" s="38"/>
      <c r="V57" s="103"/>
    </row>
    <row r="58" spans="2:22" ht="12.75">
      <c r="B58" s="96"/>
      <c r="C58" s="106" t="s">
        <v>145</v>
      </c>
      <c r="D58" s="107">
        <v>20</v>
      </c>
      <c r="E58" s="39"/>
      <c r="F58" s="39"/>
      <c r="G58" s="97" t="s">
        <v>86</v>
      </c>
      <c r="H58" s="108">
        <v>250</v>
      </c>
      <c r="I58" s="97" t="s">
        <v>178</v>
      </c>
      <c r="J58" s="43">
        <f>SelBurr(D58,H58)</f>
        <v>1.8460004121900389</v>
      </c>
      <c r="K58" s="39"/>
      <c r="L58" s="39"/>
      <c r="M58" s="39"/>
      <c r="N58" s="109">
        <f>D58</f>
        <v>20</v>
      </c>
      <c r="O58" s="39"/>
      <c r="P58" s="38" t="s">
        <v>41</v>
      </c>
      <c r="Q58" s="93">
        <v>40</v>
      </c>
      <c r="R58" s="43">
        <f t="shared" si="12"/>
        <v>0.5333333333333333</v>
      </c>
      <c r="S58" s="43">
        <f>rg(R58)*S$61</f>
        <v>1.0464936771008184</v>
      </c>
      <c r="T58" s="43">
        <f t="shared" si="13"/>
        <v>0.02303734192752046</v>
      </c>
      <c r="U58" s="38"/>
      <c r="V58" s="103"/>
    </row>
    <row r="59" spans="2:22" ht="13.5">
      <c r="B59" s="110"/>
      <c r="C59" s="97" t="s">
        <v>87</v>
      </c>
      <c r="D59" s="43">
        <f>SQRT($F$7)</f>
        <v>1</v>
      </c>
      <c r="E59" s="39"/>
      <c r="F59" s="39"/>
      <c r="G59" s="39"/>
      <c r="H59" s="53"/>
      <c r="I59" s="97" t="s">
        <v>125</v>
      </c>
      <c r="J59" s="43">
        <f>SQRT($F$7+$H$7+$J$7/G56)</f>
        <v>1.4577379737113252</v>
      </c>
      <c r="K59" s="111" t="s">
        <v>142</v>
      </c>
      <c r="L59" s="43">
        <f>D59/J59</f>
        <v>0.6859943405700353</v>
      </c>
      <c r="M59" s="38"/>
      <c r="N59" s="43">
        <f>0.5/N58</f>
        <v>0.025</v>
      </c>
      <c r="O59" s="39"/>
      <c r="P59" s="38" t="s">
        <v>43</v>
      </c>
      <c r="Q59" s="93">
        <v>50</v>
      </c>
      <c r="R59" s="43">
        <f t="shared" si="12"/>
        <v>0.7</v>
      </c>
      <c r="S59" s="43">
        <f>rg(R59)*S$61</f>
        <v>1.1525572125623282</v>
      </c>
      <c r="T59" s="43">
        <f t="shared" si="13"/>
        <v>0.020551144251246566</v>
      </c>
      <c r="U59" s="38"/>
      <c r="V59" s="103"/>
    </row>
    <row r="60" spans="2:22" ht="12.75">
      <c r="B60" s="96"/>
      <c r="C60" s="39"/>
      <c r="D60" s="39"/>
      <c r="E60" s="39"/>
      <c r="F60" s="39"/>
      <c r="G60" s="39"/>
      <c r="H60" s="39"/>
      <c r="I60" s="39"/>
      <c r="J60" s="39"/>
      <c r="K60" s="39"/>
      <c r="L60" s="38"/>
      <c r="M60" s="38"/>
      <c r="N60" s="104">
        <f>D58</f>
        <v>20</v>
      </c>
      <c r="O60" s="41"/>
      <c r="P60" s="38" t="s">
        <v>116</v>
      </c>
      <c r="Q60" s="93">
        <v>60</v>
      </c>
      <c r="R60" s="43">
        <f t="shared" si="12"/>
        <v>0.8666666666666667</v>
      </c>
      <c r="S60" s="43">
        <f>rg(R60)*S61</f>
        <v>1.2358584836839885</v>
      </c>
      <c r="T60" s="43">
        <f t="shared" si="13"/>
        <v>0.01851430806139981</v>
      </c>
      <c r="U60" s="38"/>
      <c r="V60" s="103"/>
    </row>
    <row r="61" spans="2:22" ht="13.5" thickBot="1">
      <c r="B61" s="112"/>
      <c r="C61" s="113"/>
      <c r="D61" s="114"/>
      <c r="E61" s="115"/>
      <c r="F61" s="113"/>
      <c r="G61" s="113"/>
      <c r="H61" s="113"/>
      <c r="I61" s="113"/>
      <c r="J61" s="113"/>
      <c r="K61" s="113"/>
      <c r="L61" s="113"/>
      <c r="M61" s="113"/>
      <c r="N61" s="113"/>
      <c r="O61" s="113"/>
      <c r="P61" s="113"/>
      <c r="Q61" s="113"/>
      <c r="R61" s="116" t="s">
        <v>44</v>
      </c>
      <c r="S61" s="223">
        <f>L59*J58*L$8</f>
        <v>1.266345835452319</v>
      </c>
      <c r="T61" s="113"/>
      <c r="U61" s="113"/>
      <c r="V61" s="117"/>
    </row>
    <row r="62" ht="13.5" thickTop="1"/>
    <row r="63" spans="3:5" ht="11.25">
      <c r="C63" s="68"/>
      <c r="D63" s="317" t="s">
        <v>192</v>
      </c>
      <c r="E63" s="318"/>
    </row>
    <row r="64" spans="3:5" ht="11.25">
      <c r="C64" s="69"/>
      <c r="D64" s="38" t="s">
        <v>130</v>
      </c>
      <c r="E64" s="70" t="s">
        <v>131</v>
      </c>
    </row>
    <row r="65" spans="3:15" ht="12.75">
      <c r="C65" s="71" t="s">
        <v>11</v>
      </c>
      <c r="D65" s="76">
        <v>1</v>
      </c>
      <c r="E65" s="74">
        <f>D65*D72</f>
        <v>0.8338270283591706</v>
      </c>
      <c r="O65" s="39"/>
    </row>
    <row r="66" spans="3:5" ht="12.75">
      <c r="C66" s="73" t="s">
        <v>19</v>
      </c>
      <c r="D66" s="76">
        <v>0.2</v>
      </c>
      <c r="E66" s="77">
        <v>0.8</v>
      </c>
    </row>
    <row r="67" spans="3:5" ht="12.75">
      <c r="C67" s="69" t="s">
        <v>133</v>
      </c>
      <c r="D67" s="76">
        <v>100</v>
      </c>
      <c r="E67" s="72">
        <f>D68</f>
        <v>10</v>
      </c>
    </row>
    <row r="68" spans="3:5" ht="12.75">
      <c r="C68" s="69" t="s">
        <v>132</v>
      </c>
      <c r="D68" s="76">
        <v>10</v>
      </c>
      <c r="E68" s="77">
        <v>2</v>
      </c>
    </row>
    <row r="69" spans="3:5" ht="11.25">
      <c r="C69" s="69" t="s">
        <v>134</v>
      </c>
      <c r="D69" s="43">
        <f>SelBurr(D68,D67)</f>
        <v>1.729595932727645</v>
      </c>
      <c r="E69" s="74">
        <f>SelBurr(E68,E67)</f>
        <v>1.2699218214906538</v>
      </c>
    </row>
    <row r="70" spans="3:5" ht="11.25">
      <c r="C70" s="69" t="s">
        <v>134</v>
      </c>
      <c r="D70" s="43">
        <f>sel(D68/D67)</f>
        <v>1.7549833280006826</v>
      </c>
      <c r="E70" s="70"/>
    </row>
    <row r="71" spans="3:5" ht="11.25">
      <c r="C71" s="69" t="s">
        <v>135</v>
      </c>
      <c r="D71" s="41">
        <f>tr(D68/D67)</f>
        <v>1.2815515609019674</v>
      </c>
      <c r="E71" s="70"/>
    </row>
    <row r="72" spans="3:5" ht="11.25">
      <c r="C72" s="69" t="s">
        <v>194</v>
      </c>
      <c r="D72" s="41">
        <f>1-D66*D70*(D70-D71)</f>
        <v>0.8338270283591706</v>
      </c>
      <c r="E72" s="70"/>
    </row>
    <row r="73" spans="3:5" ht="12.75">
      <c r="C73" s="69" t="s">
        <v>193</v>
      </c>
      <c r="D73" s="41">
        <f>D69*SQRT(D66*D65)</f>
        <v>0.7734988158372335</v>
      </c>
      <c r="E73" s="74">
        <f>E69*SQRT(E66*E65)</f>
        <v>1.0371939233363323</v>
      </c>
    </row>
    <row r="74" spans="3:5" ht="12.75">
      <c r="C74" s="75" t="s">
        <v>136</v>
      </c>
      <c r="D74" s="58"/>
      <c r="E74" s="78">
        <f>D73+E73</f>
        <v>1.8106927391735659</v>
      </c>
    </row>
  </sheetData>
  <mergeCells count="1">
    <mergeCell ref="D63:E63"/>
  </mergeCells>
  <printOptions/>
  <pageMargins left="0.7480314960629921" right="0.7480314960629921" top="0.984251968503937" bottom="0.984251968503937" header="0.5118110236220472" footer="0.5118110236220472"/>
  <pageSetup horizontalDpi="600" verticalDpi="600" orientation="portrait" paperSize="9" r:id="rId5"/>
  <headerFooter alignWithMargins="0">
    <oddHeader>&amp;L&amp;F&amp;C&amp;A&amp;R&amp;D   &amp;T</oddHeader>
    <oddFooter>&amp;C&amp;F&amp;RPage &amp;P</oddFooter>
  </headerFooter>
  <drawing r:id="rId4"/>
  <legacyDrawing r:id="rId3"/>
  <oleObjects>
    <oleObject progId="Equation.2" shapeId="120318265" r:id="rId2"/>
  </oleObjects>
</worksheet>
</file>

<file path=xl/worksheets/sheet4.xml><?xml version="1.0" encoding="utf-8"?>
<worksheet xmlns="http://schemas.openxmlformats.org/spreadsheetml/2006/main" xmlns:r="http://schemas.openxmlformats.org/officeDocument/2006/relationships">
  <sheetPr codeName="Sheet5"/>
  <dimension ref="B1:AL76"/>
  <sheetViews>
    <sheetView tabSelected="1" workbookViewId="0" topLeftCell="A1">
      <selection activeCell="B6" sqref="B6"/>
    </sheetView>
  </sheetViews>
  <sheetFormatPr defaultColWidth="9.140625" defaultRowHeight="12.75"/>
  <cols>
    <col min="1" max="1" width="0.9921875" style="1" customWidth="1"/>
    <col min="2" max="2" width="3.7109375" style="1" customWidth="1"/>
    <col min="3" max="3" width="14.28125" style="1" customWidth="1"/>
    <col min="4" max="4" width="6.140625" style="1" customWidth="1"/>
    <col min="5" max="5" width="7.421875" style="1" customWidth="1"/>
    <col min="6" max="6" width="8.140625" style="1" customWidth="1"/>
    <col min="7" max="8" width="6.7109375" style="1" customWidth="1"/>
    <col min="9" max="9" width="8.421875" style="1" customWidth="1"/>
    <col min="10" max="10" width="6.00390625" style="1" customWidth="1"/>
    <col min="11" max="11" width="15.140625" style="1" customWidth="1"/>
    <col min="12" max="12" width="8.57421875" style="1" customWidth="1"/>
    <col min="13" max="13" width="3.28125" style="1" customWidth="1"/>
    <col min="14" max="14" width="6.140625" style="1" customWidth="1"/>
    <col min="15" max="15" width="5.8515625" style="1" customWidth="1"/>
    <col min="16" max="16" width="24.00390625" style="1" customWidth="1"/>
    <col min="17" max="17" width="6.7109375" style="1" customWidth="1"/>
    <col min="18" max="19" width="5.57421875" style="1" customWidth="1"/>
    <col min="20" max="21" width="6.8515625" style="1" customWidth="1"/>
    <col min="22" max="22" width="3.8515625" style="1" customWidth="1"/>
    <col min="23" max="23" width="3.7109375" style="1" customWidth="1"/>
    <col min="24" max="24" width="14.140625" style="1" customWidth="1"/>
    <col min="25" max="34" width="6.7109375" style="1" customWidth="1"/>
    <col min="35" max="35" width="6.7109375" style="0" customWidth="1"/>
    <col min="36" max="36" width="15.00390625" style="0" customWidth="1"/>
    <col min="37" max="38" width="6.7109375" style="0" customWidth="1"/>
    <col min="39" max="16384" width="9.140625" style="1" customWidth="1"/>
  </cols>
  <sheetData>
    <row r="1" spans="2:38" s="247" customFormat="1" ht="37.5" customHeight="1">
      <c r="B1" s="290" t="s">
        <v>0</v>
      </c>
      <c r="C1" s="291"/>
      <c r="D1" s="292"/>
      <c r="E1" s="291"/>
      <c r="F1" s="291"/>
      <c r="G1" s="291"/>
      <c r="H1" s="291"/>
      <c r="I1" s="291"/>
      <c r="J1" s="293"/>
      <c r="K1" s="293"/>
      <c r="L1" s="291"/>
      <c r="M1" s="293"/>
      <c r="N1" s="293"/>
      <c r="O1" s="291" t="s">
        <v>263</v>
      </c>
      <c r="P1" s="291"/>
      <c r="Q1" s="248"/>
      <c r="R1" s="248"/>
      <c r="S1" s="248"/>
      <c r="T1" s="248"/>
      <c r="U1" s="248"/>
      <c r="V1" s="248"/>
      <c r="AI1" s="248"/>
      <c r="AJ1" s="248"/>
      <c r="AK1" s="248"/>
      <c r="AL1" s="248"/>
    </row>
    <row r="2" spans="2:38" s="287" customFormat="1" ht="14.25" customHeight="1">
      <c r="B2" s="296" t="s">
        <v>208</v>
      </c>
      <c r="C2" s="297"/>
      <c r="D2" s="298"/>
      <c r="E2" s="299"/>
      <c r="F2" s="298"/>
      <c r="G2" s="298"/>
      <c r="H2" s="298" t="s">
        <v>209</v>
      </c>
      <c r="I2" s="299"/>
      <c r="J2" s="298"/>
      <c r="K2" s="300"/>
      <c r="L2" s="312" t="s">
        <v>258</v>
      </c>
      <c r="M2" s="315"/>
      <c r="N2" s="313" t="s">
        <v>212</v>
      </c>
      <c r="O2" s="299"/>
      <c r="P2" s="314" t="s">
        <v>250</v>
      </c>
      <c r="Q2" s="288"/>
      <c r="R2" s="288"/>
      <c r="S2" s="288"/>
      <c r="T2" s="288"/>
      <c r="U2" s="288"/>
      <c r="V2" s="288"/>
      <c r="AI2" s="288"/>
      <c r="AJ2" s="288"/>
      <c r="AK2" s="288"/>
      <c r="AL2" s="288"/>
    </row>
    <row r="3" spans="2:38" s="287" customFormat="1" ht="13.5" customHeight="1">
      <c r="B3" s="301"/>
      <c r="C3" s="302" t="s">
        <v>215</v>
      </c>
      <c r="D3" s="303" t="s">
        <v>216</v>
      </c>
      <c r="E3" s="303" t="s">
        <v>217</v>
      </c>
      <c r="F3" s="304" t="s">
        <v>218</v>
      </c>
      <c r="G3" s="289" t="s">
        <v>219</v>
      </c>
      <c r="H3" s="305" t="s">
        <v>228</v>
      </c>
      <c r="I3" s="289" t="s">
        <v>225</v>
      </c>
      <c r="J3" s="311" t="s">
        <v>23</v>
      </c>
      <c r="K3" s="306" t="s">
        <v>210</v>
      </c>
      <c r="L3" s="289" t="s">
        <v>220</v>
      </c>
      <c r="M3" s="316"/>
      <c r="N3" s="303" t="s">
        <v>222</v>
      </c>
      <c r="O3" s="303" t="s">
        <v>223</v>
      </c>
      <c r="P3" s="311" t="s">
        <v>224</v>
      </c>
      <c r="Q3" s="288"/>
      <c r="R3" s="288"/>
      <c r="S3" s="288"/>
      <c r="T3" s="288"/>
      <c r="U3" s="288"/>
      <c r="V3" s="288"/>
      <c r="AI3" s="288"/>
      <c r="AJ3" s="288"/>
      <c r="AK3" s="288"/>
      <c r="AL3" s="288"/>
    </row>
    <row r="4" spans="2:24" ht="18" customHeight="1">
      <c r="B4" s="244" t="s">
        <v>261</v>
      </c>
      <c r="C4" s="245"/>
      <c r="D4" s="246"/>
      <c r="E4" s="247"/>
      <c r="F4" s="247"/>
      <c r="G4" s="247"/>
      <c r="H4" s="247"/>
      <c r="I4" s="247"/>
      <c r="J4" s="248"/>
      <c r="K4" s="247"/>
      <c r="L4" s="248"/>
      <c r="M4" s="247"/>
      <c r="N4" s="248"/>
      <c r="O4" s="294" t="s">
        <v>2</v>
      </c>
      <c r="P4" s="295"/>
      <c r="Q4" s="247"/>
      <c r="R4" s="248"/>
      <c r="S4" s="248"/>
      <c r="T4" s="249"/>
      <c r="U4" s="249"/>
      <c r="V4"/>
      <c r="W4"/>
      <c r="X4" t="s">
        <v>251</v>
      </c>
    </row>
    <row r="5" spans="2:22" ht="13.5">
      <c r="B5" s="248"/>
      <c r="C5" s="279" t="s">
        <v>262</v>
      </c>
      <c r="D5" s="275" t="s">
        <v>4</v>
      </c>
      <c r="E5" s="276" t="s">
        <v>4</v>
      </c>
      <c r="F5" s="277" t="s">
        <v>5</v>
      </c>
      <c r="G5" s="307" t="s">
        <v>5</v>
      </c>
      <c r="H5" s="278"/>
      <c r="I5" s="279" t="s">
        <v>6</v>
      </c>
      <c r="J5" s="276">
        <v>1</v>
      </c>
      <c r="K5" s="285" t="s">
        <v>204</v>
      </c>
      <c r="L5" s="286">
        <f>rg(J5)</f>
        <v>1</v>
      </c>
      <c r="M5" s="248"/>
      <c r="N5" s="248"/>
      <c r="O5" s="308">
        <v>0</v>
      </c>
      <c r="P5" s="283" t="s">
        <v>7</v>
      </c>
      <c r="Q5" s="248"/>
      <c r="R5" s="248"/>
      <c r="S5" s="248"/>
      <c r="T5" s="248"/>
      <c r="U5" s="248"/>
      <c r="V5"/>
    </row>
    <row r="6" spans="2:22" ht="14.25">
      <c r="B6" s="248"/>
      <c r="C6" s="247" t="s">
        <v>8</v>
      </c>
      <c r="D6" s="248"/>
      <c r="E6" s="248"/>
      <c r="F6" s="248"/>
      <c r="G6" s="248"/>
      <c r="H6" s="248"/>
      <c r="I6" s="251"/>
      <c r="J6" s="247"/>
      <c r="K6" s="248"/>
      <c r="L6" s="248"/>
      <c r="M6" s="248"/>
      <c r="N6" s="248"/>
      <c r="O6" s="308">
        <v>1</v>
      </c>
      <c r="P6" s="283" t="s">
        <v>9</v>
      </c>
      <c r="Q6" s="247"/>
      <c r="R6" s="248"/>
      <c r="S6" s="248"/>
      <c r="T6" s="248"/>
      <c r="U6" s="248"/>
      <c r="V6"/>
    </row>
    <row r="7" spans="2:22" ht="13.5">
      <c r="B7" s="248"/>
      <c r="C7" s="256"/>
      <c r="D7" s="257" t="s">
        <v>10</v>
      </c>
      <c r="E7" s="258" t="s">
        <v>146</v>
      </c>
      <c r="F7" s="280">
        <v>1</v>
      </c>
      <c r="G7" s="258" t="s">
        <v>149</v>
      </c>
      <c r="H7" s="281">
        <v>0.25</v>
      </c>
      <c r="I7" s="258" t="s">
        <v>152</v>
      </c>
      <c r="J7" s="281">
        <v>8.75</v>
      </c>
      <c r="K7" s="257" t="s">
        <v>243</v>
      </c>
      <c r="L7" s="259">
        <f>F7+H7+J7</f>
        <v>10</v>
      </c>
      <c r="M7" s="260"/>
      <c r="N7" s="252"/>
      <c r="O7" s="309">
        <v>10</v>
      </c>
      <c r="P7" s="284" t="s">
        <v>14</v>
      </c>
      <c r="Q7" s="310">
        <v>100</v>
      </c>
      <c r="R7" s="248" t="s">
        <v>119</v>
      </c>
      <c r="S7" s="248"/>
      <c r="T7" s="250"/>
      <c r="U7" s="250"/>
      <c r="V7"/>
    </row>
    <row r="8" spans="2:22" ht="13.5">
      <c r="B8" s="247"/>
      <c r="C8" s="261"/>
      <c r="D8" s="262" t="s">
        <v>15</v>
      </c>
      <c r="E8" s="263" t="s">
        <v>147</v>
      </c>
      <c r="F8" s="264">
        <f>SQRT(F7)</f>
        <v>1</v>
      </c>
      <c r="G8" s="263" t="s">
        <v>150</v>
      </c>
      <c r="H8" s="265">
        <f>SQRT(H7)</f>
        <v>0.5</v>
      </c>
      <c r="I8" s="263" t="s">
        <v>153</v>
      </c>
      <c r="J8" s="265">
        <f>SQRT(J7)</f>
        <v>2.958039891549808</v>
      </c>
      <c r="K8" s="263" t="s">
        <v>141</v>
      </c>
      <c r="L8" s="282">
        <v>10</v>
      </c>
      <c r="M8" s="266" t="s">
        <v>230</v>
      </c>
      <c r="N8" s="253"/>
      <c r="O8" s="248"/>
      <c r="P8" s="247"/>
      <c r="Q8" s="310">
        <v>60</v>
      </c>
      <c r="R8" s="248" t="s">
        <v>117</v>
      </c>
      <c r="S8" s="248"/>
      <c r="T8" s="248"/>
      <c r="U8" s="248"/>
      <c r="V8"/>
    </row>
    <row r="9" spans="2:26" ht="13.5">
      <c r="B9" s="247"/>
      <c r="C9" s="267"/>
      <c r="D9" s="268" t="s">
        <v>122</v>
      </c>
      <c r="E9" s="269" t="s">
        <v>148</v>
      </c>
      <c r="F9" s="270">
        <f>F7/L7</f>
        <v>0.1</v>
      </c>
      <c r="G9" s="269" t="s">
        <v>151</v>
      </c>
      <c r="H9" s="270">
        <f>(F7+H7)/L7</f>
        <v>0.125</v>
      </c>
      <c r="I9" s="271"/>
      <c r="J9" s="271"/>
      <c r="K9" s="272"/>
      <c r="L9" s="273"/>
      <c r="M9" s="274"/>
      <c r="N9" s="254">
        <v>100</v>
      </c>
      <c r="O9" s="248" t="s">
        <v>242</v>
      </c>
      <c r="P9" s="248"/>
      <c r="Q9" s="248"/>
      <c r="R9" s="248"/>
      <c r="S9" s="248"/>
      <c r="T9" s="255"/>
      <c r="U9" s="255"/>
      <c r="V9" s="39"/>
      <c r="W9" s="39"/>
      <c r="X9" s="39"/>
      <c r="Y9"/>
      <c r="Z9"/>
    </row>
    <row r="10" spans="2:27" ht="12.75">
      <c r="B10"/>
      <c r="C10"/>
      <c r="D10"/>
      <c r="E10"/>
      <c r="F10"/>
      <c r="G10"/>
      <c r="H10"/>
      <c r="I10"/>
      <c r="J10"/>
      <c r="K10"/>
      <c r="L10"/>
      <c r="N10" s="49">
        <v>90</v>
      </c>
      <c r="O10" t="s">
        <v>236</v>
      </c>
      <c r="Q10"/>
      <c r="R10"/>
      <c r="S10"/>
      <c r="T10" s="38"/>
      <c r="U10" s="38"/>
      <c r="V10" s="38"/>
      <c r="W10" s="45" t="s">
        <v>196</v>
      </c>
      <c r="X10" s="39"/>
      <c r="Y10"/>
      <c r="Z10"/>
      <c r="AA10"/>
    </row>
    <row r="11" spans="2:38" s="38" customFormat="1" ht="13.5" thickBot="1">
      <c r="B11" s="39"/>
      <c r="C11" s="39"/>
      <c r="D11" s="39"/>
      <c r="E11" s="39"/>
      <c r="F11" s="39"/>
      <c r="G11" s="39"/>
      <c r="H11" s="39"/>
      <c r="I11" s="39"/>
      <c r="J11" s="39"/>
      <c r="K11" s="40"/>
      <c r="L11" s="39"/>
      <c r="N11" s="45" t="s">
        <v>115</v>
      </c>
      <c r="Q11" s="46" t="s">
        <v>21</v>
      </c>
      <c r="R11" s="46"/>
      <c r="S11" s="46"/>
      <c r="T11" s="46"/>
      <c r="U11" s="46"/>
      <c r="V11" s="228" t="s">
        <v>197</v>
      </c>
      <c r="W11" s="45"/>
      <c r="Y11" s="1"/>
      <c r="Z11" s="1"/>
      <c r="AA11" s="1"/>
      <c r="AI11"/>
      <c r="AJ11"/>
      <c r="AK11"/>
      <c r="AL11"/>
    </row>
    <row r="12" spans="2:38" s="38" customFormat="1" ht="13.5" thickTop="1">
      <c r="B12" s="118" t="s">
        <v>22</v>
      </c>
      <c r="C12" s="119"/>
      <c r="D12" s="120"/>
      <c r="E12" s="119"/>
      <c r="F12" s="119"/>
      <c r="G12" s="119"/>
      <c r="H12" s="119"/>
      <c r="I12" s="119"/>
      <c r="J12" s="119"/>
      <c r="K12" s="119"/>
      <c r="L12" s="119" t="s">
        <v>241</v>
      </c>
      <c r="M12" s="146"/>
      <c r="N12" s="146"/>
      <c r="O12" s="162" t="s">
        <v>260</v>
      </c>
      <c r="P12" s="119"/>
      <c r="Q12" s="163" t="s">
        <v>24</v>
      </c>
      <c r="R12" s="163" t="s">
        <v>25</v>
      </c>
      <c r="S12" s="163" t="s">
        <v>255</v>
      </c>
      <c r="T12" s="119" t="s">
        <v>256</v>
      </c>
      <c r="U12" s="119" t="s">
        <v>247</v>
      </c>
      <c r="V12" s="231">
        <v>3</v>
      </c>
      <c r="W12" s="231">
        <v>3</v>
      </c>
      <c r="X12" s="119"/>
      <c r="Y12" s="125"/>
      <c r="AI12" s="39"/>
      <c r="AJ12" s="39"/>
      <c r="AK12" s="39"/>
      <c r="AL12" s="39"/>
    </row>
    <row r="13" spans="2:25" ht="13.5">
      <c r="B13" s="126"/>
      <c r="C13" s="45" t="s">
        <v>28</v>
      </c>
      <c r="D13" s="38"/>
      <c r="E13" s="39"/>
      <c r="F13" s="39"/>
      <c r="G13" s="38"/>
      <c r="H13" s="38"/>
      <c r="I13" s="38"/>
      <c r="J13" s="91" t="s">
        <v>29</v>
      </c>
      <c r="K13" s="91" t="s">
        <v>231</v>
      </c>
      <c r="L13" s="92">
        <f>L$5*J16*L17</f>
        <v>0.8660396371437595</v>
      </c>
      <c r="M13" s="225" t="s">
        <v>229</v>
      </c>
      <c r="N13" s="39"/>
      <c r="O13" s="41">
        <f>D14*H16</f>
        <v>2500</v>
      </c>
      <c r="P13" s="38" t="s">
        <v>30</v>
      </c>
      <c r="Q13" s="93">
        <v>10</v>
      </c>
      <c r="R13" s="43">
        <f aca="true" t="shared" si="0" ref="R13:R18">(Q13-V$12-W$12)/$Q$8</f>
        <v>0.06666666666666667</v>
      </c>
      <c r="S13" s="43">
        <f aca="true" t="shared" si="1" ref="S13:S18">rg($R13)*S$19</f>
        <v>0.17944341281618698</v>
      </c>
      <c r="T13" s="227">
        <f aca="true" t="shared" si="2" ref="T13:T19">rg($R13)*S$19*L$8+100</f>
        <v>101.79443412816187</v>
      </c>
      <c r="U13" s="227">
        <f>T13-Y$17-Y$18-Y$19-Y$20</f>
        <v>96.19443412816187</v>
      </c>
      <c r="V13" s="38"/>
      <c r="W13" s="53" t="s">
        <v>246</v>
      </c>
      <c r="X13" s="38"/>
      <c r="Y13" s="235">
        <f>N$10-0.7-2</f>
        <v>87.3</v>
      </c>
    </row>
    <row r="14" spans="2:28" ht="13.5">
      <c r="B14" s="129"/>
      <c r="C14" s="97" t="s">
        <v>31</v>
      </c>
      <c r="D14" s="108">
        <v>25</v>
      </c>
      <c r="E14" s="38"/>
      <c r="F14" s="97" t="s">
        <v>32</v>
      </c>
      <c r="G14" s="104">
        <f>D16</f>
        <v>20</v>
      </c>
      <c r="H14" s="38" t="s">
        <v>33</v>
      </c>
      <c r="I14" s="105">
        <f>H16</f>
        <v>100</v>
      </c>
      <c r="J14" s="38" t="s">
        <v>34</v>
      </c>
      <c r="K14" s="91" t="s">
        <v>183</v>
      </c>
      <c r="L14" s="226">
        <f>L$8*L13</f>
        <v>8.660396371437596</v>
      </c>
      <c r="M14" s="39" t="s">
        <v>230</v>
      </c>
      <c r="N14" s="39"/>
      <c r="O14" s="102">
        <f>O$5+H16*(O$7+D14*O$6)</f>
        <v>3500</v>
      </c>
      <c r="P14" s="38" t="s">
        <v>35</v>
      </c>
      <c r="Q14" s="93">
        <v>20</v>
      </c>
      <c r="R14" s="43">
        <f t="shared" si="0"/>
        <v>0.23333333333333334</v>
      </c>
      <c r="S14" s="43">
        <f t="shared" si="1"/>
        <v>0.4951768104116679</v>
      </c>
      <c r="T14" s="227">
        <f t="shared" si="2"/>
        <v>104.95176810411668</v>
      </c>
      <c r="U14" s="227">
        <f aca="true" t="shared" si="3" ref="U14:U19">T14-Y$17-Y$18-Y$19-Y$20</f>
        <v>99.35176810411669</v>
      </c>
      <c r="V14" s="39"/>
      <c r="W14" s="39" t="s">
        <v>247</v>
      </c>
      <c r="X14" s="38"/>
      <c r="Y14" s="243">
        <f>Y16-Y17-Y18-Y19-Y20</f>
        <v>103.0603963714376</v>
      </c>
      <c r="AB14" s="38"/>
    </row>
    <row r="15" spans="2:25" ht="13.5">
      <c r="B15" s="129"/>
      <c r="C15" s="45" t="s">
        <v>36</v>
      </c>
      <c r="D15" s="39"/>
      <c r="E15" s="38"/>
      <c r="F15" s="38"/>
      <c r="G15" s="39"/>
      <c r="H15" s="39"/>
      <c r="I15" s="39"/>
      <c r="J15" s="39"/>
      <c r="K15" s="91" t="s">
        <v>237</v>
      </c>
      <c r="L15" s="226">
        <f>L14+100</f>
        <v>108.6603963714376</v>
      </c>
      <c r="M15" s="39" t="s">
        <v>230</v>
      </c>
      <c r="N15" s="39"/>
      <c r="O15" s="41"/>
      <c r="P15" s="38" t="s">
        <v>37</v>
      </c>
      <c r="Q15" s="93">
        <v>30</v>
      </c>
      <c r="R15" s="43">
        <f t="shared" si="0"/>
        <v>0.4</v>
      </c>
      <c r="S15" s="43">
        <f t="shared" si="1"/>
        <v>0.638948849257886</v>
      </c>
      <c r="T15" s="227">
        <f t="shared" si="2"/>
        <v>106.38948849257886</v>
      </c>
      <c r="U15" s="227">
        <f t="shared" si="3"/>
        <v>100.78948849257887</v>
      </c>
      <c r="V15" s="39"/>
      <c r="W15" s="38" t="s">
        <v>253</v>
      </c>
      <c r="X15" s="38"/>
      <c r="Y15" s="237">
        <f>N18</f>
        <v>20</v>
      </c>
    </row>
    <row r="16" spans="2:25" ht="12.75">
      <c r="B16" s="129"/>
      <c r="C16" s="106" t="s">
        <v>145</v>
      </c>
      <c r="D16" s="107">
        <v>20</v>
      </c>
      <c r="E16" s="39"/>
      <c r="F16" s="39"/>
      <c r="G16" s="97" t="s">
        <v>39</v>
      </c>
      <c r="H16" s="108">
        <v>100</v>
      </c>
      <c r="I16" s="132" t="s">
        <v>40</v>
      </c>
      <c r="J16" s="43">
        <f>SelBurr(D16,H16)</f>
        <v>1.3856634194300153</v>
      </c>
      <c r="K16" s="39"/>
      <c r="L16" s="39"/>
      <c r="M16" s="39"/>
      <c r="N16" s="109">
        <f>D16</f>
        <v>20</v>
      </c>
      <c r="O16" s="39"/>
      <c r="P16" s="38" t="s">
        <v>259</v>
      </c>
      <c r="Q16" s="93">
        <v>40</v>
      </c>
      <c r="R16" s="43">
        <f t="shared" si="0"/>
        <v>0.5666666666666667</v>
      </c>
      <c r="S16" s="43">
        <f t="shared" si="1"/>
        <v>0.7318562494184726</v>
      </c>
      <c r="T16" s="227">
        <f t="shared" si="2"/>
        <v>107.31856249418473</v>
      </c>
      <c r="U16" s="227">
        <f t="shared" si="3"/>
        <v>101.71856249418474</v>
      </c>
      <c r="V16" s="39"/>
      <c r="W16" s="38" t="s">
        <v>252</v>
      </c>
      <c r="X16" s="38"/>
      <c r="Y16" s="236">
        <f>T19</f>
        <v>108.6603963714376</v>
      </c>
    </row>
    <row r="17" spans="2:25" ht="13.5">
      <c r="B17" s="133"/>
      <c r="C17" s="97" t="s">
        <v>211</v>
      </c>
      <c r="D17" s="43">
        <f>0.5*SQRT($F$7)</f>
        <v>0.5</v>
      </c>
      <c r="E17" s="39"/>
      <c r="F17" s="39"/>
      <c r="G17" s="39"/>
      <c r="H17" s="53"/>
      <c r="I17" s="97" t="s">
        <v>110</v>
      </c>
      <c r="J17" s="43">
        <f>SQRT(0.25*$F$7+(0.75*$F$7+$H$7+$J$7)/D14)</f>
        <v>0.8</v>
      </c>
      <c r="K17" s="111" t="s">
        <v>140</v>
      </c>
      <c r="L17" s="43">
        <f>D17/J17</f>
        <v>0.625</v>
      </c>
      <c r="M17" s="38"/>
      <c r="N17" s="43">
        <f>0.5/N16</f>
        <v>0.025</v>
      </c>
      <c r="O17" s="39"/>
      <c r="P17" s="38" t="s">
        <v>244</v>
      </c>
      <c r="Q17" s="93">
        <v>50</v>
      </c>
      <c r="R17" s="43">
        <f t="shared" si="0"/>
        <v>0.7333333333333333</v>
      </c>
      <c r="S17" s="43">
        <f t="shared" si="1"/>
        <v>0.80062963972412</v>
      </c>
      <c r="T17" s="227">
        <f t="shared" si="2"/>
        <v>108.0062963972412</v>
      </c>
      <c r="U17" s="227">
        <f t="shared" si="3"/>
        <v>102.4062963972412</v>
      </c>
      <c r="V17" s="38"/>
      <c r="W17" s="38" t="s">
        <v>248</v>
      </c>
      <c r="X17" s="38"/>
      <c r="Y17" s="235">
        <f>0.7+18/Y15</f>
        <v>1.6</v>
      </c>
    </row>
    <row r="18" spans="2:38" s="12" customFormat="1" ht="12.75">
      <c r="B18" s="129"/>
      <c r="C18" s="39"/>
      <c r="D18" s="39"/>
      <c r="E18" s="39"/>
      <c r="F18" s="39"/>
      <c r="G18" s="39"/>
      <c r="H18" s="39"/>
      <c r="I18" s="39"/>
      <c r="J18" s="39"/>
      <c r="K18" s="39"/>
      <c r="L18" s="39"/>
      <c r="M18" s="39"/>
      <c r="N18" s="104">
        <f>D16</f>
        <v>20</v>
      </c>
      <c r="O18" s="41"/>
      <c r="P18" s="38" t="s">
        <v>116</v>
      </c>
      <c r="Q18" s="93">
        <v>60</v>
      </c>
      <c r="R18" s="43">
        <f t="shared" si="0"/>
        <v>0.9</v>
      </c>
      <c r="S18" s="43">
        <f t="shared" si="1"/>
        <v>0.8552565439997631</v>
      </c>
      <c r="T18" s="227">
        <f t="shared" si="2"/>
        <v>108.55256543999764</v>
      </c>
      <c r="U18" s="227">
        <f t="shared" si="3"/>
        <v>102.95256543999764</v>
      </c>
      <c r="V18" s="53"/>
      <c r="W18" s="38" t="s">
        <v>249</v>
      </c>
      <c r="X18" s="38"/>
      <c r="Y18" s="235">
        <v>0</v>
      </c>
      <c r="AI18"/>
      <c r="AJ18"/>
      <c r="AK18"/>
      <c r="AL18"/>
    </row>
    <row r="19" spans="2:38" s="39" customFormat="1" ht="12.75">
      <c r="B19" s="129"/>
      <c r="O19" s="41"/>
      <c r="P19" s="38"/>
      <c r="Q19" s="42"/>
      <c r="R19" s="39" t="s">
        <v>44</v>
      </c>
      <c r="S19" s="229">
        <f>L17*J16</f>
        <v>0.8660396371437595</v>
      </c>
      <c r="T19" s="227">
        <f t="shared" si="2"/>
        <v>108.6603963714376</v>
      </c>
      <c r="U19" s="227">
        <f t="shared" si="3"/>
        <v>103.0603963714376</v>
      </c>
      <c r="W19" s="53" t="s">
        <v>245</v>
      </c>
      <c r="X19" s="53"/>
      <c r="Y19" s="235">
        <v>0</v>
      </c>
      <c r="AI19"/>
      <c r="AJ19"/>
      <c r="AK19"/>
      <c r="AL19"/>
    </row>
    <row r="20" spans="2:38" s="39" customFormat="1" ht="13.5" thickBot="1">
      <c r="B20" s="135"/>
      <c r="C20" s="138"/>
      <c r="D20" s="138"/>
      <c r="E20" s="138"/>
      <c r="F20" s="138"/>
      <c r="G20" s="138"/>
      <c r="H20" s="138"/>
      <c r="I20" s="138"/>
      <c r="J20" s="138"/>
      <c r="K20" s="138"/>
      <c r="L20" s="138"/>
      <c r="M20" s="138"/>
      <c r="N20" s="138"/>
      <c r="O20" s="141"/>
      <c r="P20" s="139"/>
      <c r="Q20" s="160"/>
      <c r="R20" s="138"/>
      <c r="S20" s="219"/>
      <c r="T20" s="238"/>
      <c r="U20" s="238"/>
      <c r="V20" s="138"/>
      <c r="W20" s="139" t="s">
        <v>254</v>
      </c>
      <c r="X20" s="138"/>
      <c r="Y20" s="239">
        <f>0.4*(100-N$10)</f>
        <v>4</v>
      </c>
      <c r="AI20"/>
      <c r="AJ20"/>
      <c r="AK20"/>
      <c r="AL20"/>
    </row>
    <row r="21" spans="15:38" s="39" customFormat="1" ht="14.25" thickBot="1" thickTop="1">
      <c r="O21" s="41"/>
      <c r="P21" s="38"/>
      <c r="Q21" s="42"/>
      <c r="S21" s="43"/>
      <c r="AI21"/>
      <c r="AJ21"/>
      <c r="AK21"/>
      <c r="AL21"/>
    </row>
    <row r="22" spans="2:23" s="39" customFormat="1" ht="13.5" thickTop="1">
      <c r="B22" s="118" t="s">
        <v>121</v>
      </c>
      <c r="C22" s="119"/>
      <c r="D22" s="120"/>
      <c r="E22" s="119"/>
      <c r="F22" s="119"/>
      <c r="G22" s="119"/>
      <c r="H22" s="119"/>
      <c r="I22" s="119"/>
      <c r="J22" s="119"/>
      <c r="K22" s="119"/>
      <c r="L22" s="119"/>
      <c r="M22" s="146"/>
      <c r="N22" s="146"/>
      <c r="O22" s="123"/>
      <c r="P22" s="119"/>
      <c r="Q22" s="144"/>
      <c r="R22" s="146"/>
      <c r="S22" s="121"/>
      <c r="T22" s="146"/>
      <c r="U22" s="146"/>
      <c r="V22" s="231">
        <v>5</v>
      </c>
      <c r="W22" s="242">
        <v>3</v>
      </c>
    </row>
    <row r="23" spans="2:24" ht="13.5">
      <c r="B23" s="126"/>
      <c r="C23" s="45" t="s">
        <v>28</v>
      </c>
      <c r="D23" s="38"/>
      <c r="E23" s="39"/>
      <c r="F23" s="39"/>
      <c r="G23" s="38"/>
      <c r="H23" s="38"/>
      <c r="I23" s="38"/>
      <c r="J23" s="91" t="s">
        <v>29</v>
      </c>
      <c r="K23" s="91" t="s">
        <v>232</v>
      </c>
      <c r="L23" s="92">
        <f>L$5*J26*L27</f>
        <v>0.8984847024160542</v>
      </c>
      <c r="M23" s="225" t="s">
        <v>229</v>
      </c>
      <c r="N23" s="39"/>
      <c r="O23" s="41">
        <f>D24*H26/2</f>
        <v>2500</v>
      </c>
      <c r="P23" s="38" t="s">
        <v>30</v>
      </c>
      <c r="Q23" s="93">
        <v>10</v>
      </c>
      <c r="R23" s="43">
        <f aca="true" t="shared" si="4" ref="R23:R28">(Q23-V$22-W$22)/$Q$8</f>
        <v>0.03333333333333333</v>
      </c>
      <c r="S23" s="43">
        <f aca="true" t="shared" si="5" ref="S23:S28">rg(R23)*S$29</f>
        <v>0.09308301517030321</v>
      </c>
      <c r="T23" s="227">
        <f>rg($R23)*S$29*L$8+100</f>
        <v>100.93083015170303</v>
      </c>
      <c r="U23" s="227"/>
      <c r="V23" s="38"/>
      <c r="W23" s="130"/>
      <c r="X23" s="38"/>
    </row>
    <row r="24" spans="2:24" ht="13.5">
      <c r="B24" s="129"/>
      <c r="C24" s="97" t="s">
        <v>31</v>
      </c>
      <c r="D24" s="108">
        <v>25</v>
      </c>
      <c r="E24" s="38"/>
      <c r="F24" s="97" t="s">
        <v>32</v>
      </c>
      <c r="G24" s="104">
        <f>D26</f>
        <v>20</v>
      </c>
      <c r="H24" s="38" t="s">
        <v>33</v>
      </c>
      <c r="I24" s="105">
        <f>H26</f>
        <v>200</v>
      </c>
      <c r="J24" s="38" t="s">
        <v>34</v>
      </c>
      <c r="K24" s="91" t="s">
        <v>184</v>
      </c>
      <c r="L24" s="226">
        <f>L$8*L23</f>
        <v>8.984847024160542</v>
      </c>
      <c r="M24" s="39" t="s">
        <v>230</v>
      </c>
      <c r="N24" s="39"/>
      <c r="O24" s="102">
        <f>O$5+H26*(O$7+D24*O$6/2)</f>
        <v>4500</v>
      </c>
      <c r="P24" s="38" t="s">
        <v>83</v>
      </c>
      <c r="Q24" s="93">
        <v>20</v>
      </c>
      <c r="R24" s="43">
        <f t="shared" si="4"/>
        <v>0.2</v>
      </c>
      <c r="S24" s="43">
        <f t="shared" si="5"/>
        <v>0.47106935057075117</v>
      </c>
      <c r="T24" s="227">
        <f aca="true" t="shared" si="6" ref="T24:T29">rg($R24)*S$29*L$8+100</f>
        <v>104.71069350570751</v>
      </c>
      <c r="U24" s="227"/>
      <c r="V24" s="39"/>
      <c r="W24" s="156"/>
      <c r="X24" s="39"/>
    </row>
    <row r="25" spans="2:24" ht="13.5">
      <c r="B25" s="129"/>
      <c r="C25" s="45" t="s">
        <v>36</v>
      </c>
      <c r="D25" s="39"/>
      <c r="E25" s="38"/>
      <c r="F25" s="38"/>
      <c r="G25" s="39"/>
      <c r="H25" s="39"/>
      <c r="I25" s="39"/>
      <c r="J25" s="39"/>
      <c r="K25" s="91" t="s">
        <v>238</v>
      </c>
      <c r="L25" s="226">
        <f>L24+100</f>
        <v>108.98484702416054</v>
      </c>
      <c r="M25" s="39" t="s">
        <v>230</v>
      </c>
      <c r="N25" s="39"/>
      <c r="O25" s="41"/>
      <c r="P25" s="38" t="s">
        <v>46</v>
      </c>
      <c r="Q25" s="93">
        <v>30</v>
      </c>
      <c r="R25" s="43">
        <f t="shared" si="4"/>
        <v>0.36666666666666664</v>
      </c>
      <c r="S25" s="43">
        <f t="shared" si="5"/>
        <v>0.6388073046758851</v>
      </c>
      <c r="T25" s="227">
        <f t="shared" si="6"/>
        <v>106.38807304675885</v>
      </c>
      <c r="U25" s="227"/>
      <c r="V25" s="39"/>
      <c r="W25" s="156"/>
      <c r="X25" s="39"/>
    </row>
    <row r="26" spans="2:24" ht="12.75">
      <c r="B26" s="129"/>
      <c r="C26" s="106" t="s">
        <v>145</v>
      </c>
      <c r="D26" s="107">
        <v>20</v>
      </c>
      <c r="E26" s="39"/>
      <c r="F26" s="39"/>
      <c r="G26" s="97" t="s">
        <v>47</v>
      </c>
      <c r="H26" s="108">
        <v>200</v>
      </c>
      <c r="I26" s="132" t="s">
        <v>48</v>
      </c>
      <c r="J26" s="43">
        <f>SelBurr(D26,H26)</f>
        <v>1.742226477639604</v>
      </c>
      <c r="K26" s="39"/>
      <c r="L26" s="39"/>
      <c r="M26" s="39"/>
      <c r="N26" s="109">
        <f>D26</f>
        <v>20</v>
      </c>
      <c r="O26" s="39"/>
      <c r="P26" s="38" t="s">
        <v>41</v>
      </c>
      <c r="Q26" s="93">
        <v>40</v>
      </c>
      <c r="R26" s="43">
        <f t="shared" si="4"/>
        <v>0.5333333333333333</v>
      </c>
      <c r="S26" s="43">
        <f t="shared" si="5"/>
        <v>0.7424974550608172</v>
      </c>
      <c r="T26" s="227">
        <f t="shared" si="6"/>
        <v>107.42497455060817</v>
      </c>
      <c r="U26" s="227"/>
      <c r="V26" s="39"/>
      <c r="W26" s="156"/>
      <c r="X26" s="39"/>
    </row>
    <row r="27" spans="2:24" ht="13.5">
      <c r="B27" s="133"/>
      <c r="C27" s="97" t="s">
        <v>42</v>
      </c>
      <c r="D27" s="43">
        <f>0.5*SQRT($F$7)</f>
        <v>0.5</v>
      </c>
      <c r="E27" s="39"/>
      <c r="F27" s="39"/>
      <c r="G27" s="39"/>
      <c r="H27" s="53"/>
      <c r="I27" s="97" t="s">
        <v>49</v>
      </c>
      <c r="J27" s="43">
        <f>SQRT(0.5*$F$7+0.25*$H$7+(0.5*$F$7+0.75*$H$7+$J$7)/D24)</f>
        <v>0.9695359714832658</v>
      </c>
      <c r="K27" s="111" t="s">
        <v>140</v>
      </c>
      <c r="L27" s="43">
        <f>D27/J27</f>
        <v>0.5157106231293968</v>
      </c>
      <c r="M27" s="38"/>
      <c r="N27" s="43">
        <f>0.5/N26</f>
        <v>0.025</v>
      </c>
      <c r="O27" s="39"/>
      <c r="P27" s="38" t="s">
        <v>244</v>
      </c>
      <c r="Q27" s="93">
        <v>50</v>
      </c>
      <c r="R27" s="43">
        <f t="shared" si="4"/>
        <v>0.7</v>
      </c>
      <c r="S27" s="43">
        <f t="shared" si="5"/>
        <v>0.8177505663582464</v>
      </c>
      <c r="T27" s="227">
        <f t="shared" si="6"/>
        <v>108.17750566358247</v>
      </c>
      <c r="U27" s="227"/>
      <c r="V27" s="39"/>
      <c r="W27" s="156"/>
      <c r="X27" s="39"/>
    </row>
    <row r="28" spans="2:24" ht="12.75">
      <c r="B28" s="133"/>
      <c r="C28" s="97"/>
      <c r="D28" s="43"/>
      <c r="E28" s="39"/>
      <c r="F28" s="39"/>
      <c r="G28" s="39"/>
      <c r="H28" s="53"/>
      <c r="I28" s="97"/>
      <c r="J28" s="43"/>
      <c r="K28" s="157"/>
      <c r="L28" s="43"/>
      <c r="M28" s="39"/>
      <c r="N28" s="104">
        <f>D26</f>
        <v>20</v>
      </c>
      <c r="O28" s="41"/>
      <c r="P28" s="38" t="s">
        <v>116</v>
      </c>
      <c r="Q28" s="93">
        <v>60</v>
      </c>
      <c r="R28" s="43">
        <f t="shared" si="4"/>
        <v>0.8666666666666667</v>
      </c>
      <c r="S28" s="43">
        <f t="shared" si="5"/>
        <v>0.8768536294388705</v>
      </c>
      <c r="T28" s="227">
        <f t="shared" si="6"/>
        <v>108.76853629438871</v>
      </c>
      <c r="U28" s="227"/>
      <c r="V28" s="39"/>
      <c r="W28" s="156"/>
      <c r="X28" s="39"/>
    </row>
    <row r="29" spans="2:24" ht="13.5" thickBot="1">
      <c r="B29" s="158"/>
      <c r="C29" s="136"/>
      <c r="D29" s="137"/>
      <c r="E29" s="138"/>
      <c r="F29" s="138"/>
      <c r="G29" s="138"/>
      <c r="H29" s="142"/>
      <c r="I29" s="136"/>
      <c r="J29" s="137"/>
      <c r="K29" s="159"/>
      <c r="L29" s="137"/>
      <c r="M29" s="138"/>
      <c r="N29" s="138"/>
      <c r="O29" s="141"/>
      <c r="P29" s="139"/>
      <c r="Q29" s="160"/>
      <c r="R29" s="138" t="s">
        <v>44</v>
      </c>
      <c r="S29" s="218">
        <f>L27*J26</f>
        <v>0.8984847024160542</v>
      </c>
      <c r="T29" s="238">
        <f t="shared" si="6"/>
        <v>108.98484702416054</v>
      </c>
      <c r="U29" s="238"/>
      <c r="V29" s="138"/>
      <c r="W29" s="161"/>
      <c r="X29" s="39"/>
    </row>
    <row r="30" spans="2:24" ht="13.5" thickTop="1">
      <c r="B30" s="230"/>
      <c r="C30" s="97"/>
      <c r="D30" s="43"/>
      <c r="E30" s="39"/>
      <c r="F30" s="39"/>
      <c r="G30" s="39"/>
      <c r="H30" s="53"/>
      <c r="I30" s="97"/>
      <c r="J30" s="43"/>
      <c r="K30" s="157"/>
      <c r="L30" s="43"/>
      <c r="M30" s="39"/>
      <c r="N30" s="39"/>
      <c r="O30" s="41"/>
      <c r="P30" s="38"/>
      <c r="Q30" s="42"/>
      <c r="R30" s="39"/>
      <c r="S30" s="220"/>
      <c r="T30" s="227"/>
      <c r="U30" s="227"/>
      <c r="V30" s="39"/>
      <c r="W30" s="39"/>
      <c r="X30" s="39"/>
    </row>
    <row r="31" spans="2:24" ht="13.5" thickBot="1">
      <c r="B31" s="15"/>
      <c r="C31" s="10"/>
      <c r="D31" s="9"/>
      <c r="H31" s="12"/>
      <c r="I31" s="10"/>
      <c r="J31" s="9"/>
      <c r="K31" s="7"/>
      <c r="L31" s="9"/>
      <c r="O31" s="6"/>
      <c r="Q31" s="29"/>
      <c r="S31" s="9"/>
      <c r="T31" s="38"/>
      <c r="U31" s="38"/>
      <c r="V31" s="39"/>
      <c r="W31" s="39"/>
      <c r="X31" s="39"/>
    </row>
    <row r="32" spans="2:38" s="38" customFormat="1" ht="15.75" customHeight="1" thickTop="1">
      <c r="B32" s="118" t="s">
        <v>50</v>
      </c>
      <c r="C32" s="119"/>
      <c r="D32" s="119"/>
      <c r="E32" s="119"/>
      <c r="F32" s="119"/>
      <c r="G32" s="119"/>
      <c r="H32" s="119"/>
      <c r="I32" s="119"/>
      <c r="J32" s="121"/>
      <c r="K32" s="119"/>
      <c r="L32" s="121"/>
      <c r="M32" s="119"/>
      <c r="N32" s="119"/>
      <c r="O32" s="123"/>
      <c r="P32" s="119"/>
      <c r="Q32" s="144"/>
      <c r="R32" s="119" t="s">
        <v>213</v>
      </c>
      <c r="S32" s="121"/>
      <c r="T32" s="145" t="s">
        <v>27</v>
      </c>
      <c r="U32" s="145"/>
      <c r="V32" s="231">
        <v>5</v>
      </c>
      <c r="W32" s="242">
        <v>3</v>
      </c>
      <c r="AI32" s="39"/>
      <c r="AJ32" s="39"/>
      <c r="AK32" s="39"/>
      <c r="AL32" s="39"/>
    </row>
    <row r="33" spans="2:24" ht="13.5">
      <c r="B33" s="126"/>
      <c r="C33" s="45" t="s">
        <v>28</v>
      </c>
      <c r="D33" s="38"/>
      <c r="E33" s="38"/>
      <c r="F33" s="38"/>
      <c r="G33" s="38"/>
      <c r="H33" s="38"/>
      <c r="I33" s="38"/>
      <c r="J33" s="91" t="s">
        <v>29</v>
      </c>
      <c r="K33" s="127" t="s">
        <v>233</v>
      </c>
      <c r="L33" s="92">
        <f>L$5*(L37+L40)</f>
        <v>0.9707995400023786</v>
      </c>
      <c r="M33" s="225" t="s">
        <v>229</v>
      </c>
      <c r="N33" s="38"/>
      <c r="O33" s="41">
        <f>D34*H37*G34</f>
        <v>2500</v>
      </c>
      <c r="P33" s="38" t="s">
        <v>30</v>
      </c>
      <c r="Q33" s="93">
        <v>10</v>
      </c>
      <c r="R33" s="43">
        <f aca="true" t="shared" si="7" ref="R33:R39">(Q33-V$32-W$32)/$Q$8</f>
        <v>0.03333333333333333</v>
      </c>
      <c r="S33" s="43">
        <f aca="true" t="shared" si="8" ref="S33:S39">rg(R33)*S$40</f>
        <v>0.10057483234424641</v>
      </c>
      <c r="T33" s="227">
        <f>rg($R33)*S$40*L$8+50+N$10/2</f>
        <v>96.00574832344246</v>
      </c>
      <c r="U33" s="227"/>
      <c r="V33" s="38"/>
      <c r="W33" s="130"/>
      <c r="X33" s="38"/>
    </row>
    <row r="34" spans="2:24" ht="12.75">
      <c r="B34" s="129"/>
      <c r="C34" s="97" t="s">
        <v>31</v>
      </c>
      <c r="D34" s="108">
        <v>25</v>
      </c>
      <c r="E34" s="39"/>
      <c r="F34" s="97" t="s">
        <v>51</v>
      </c>
      <c r="G34" s="108">
        <v>1</v>
      </c>
      <c r="H34" s="38" t="s">
        <v>52</v>
      </c>
      <c r="I34" s="45"/>
      <c r="J34" s="101"/>
      <c r="K34" s="127" t="s">
        <v>185</v>
      </c>
      <c r="L34" s="226">
        <f>L$8*L33</f>
        <v>9.707995400023785</v>
      </c>
      <c r="M34" s="39" t="s">
        <v>230</v>
      </c>
      <c r="N34" s="38"/>
      <c r="O34" s="102">
        <f>$O$5+H37*($O$7+D34*G34*$O$6)</f>
        <v>3500</v>
      </c>
      <c r="P34" s="38" t="s">
        <v>83</v>
      </c>
      <c r="Q34" s="93">
        <v>20</v>
      </c>
      <c r="R34" s="43">
        <f t="shared" si="7"/>
        <v>0.2</v>
      </c>
      <c r="S34" s="43">
        <f t="shared" si="8"/>
        <v>0.508983522605975</v>
      </c>
      <c r="T34" s="227">
        <f aca="true" t="shared" si="9" ref="T34:T40">rg($R34)*S$40*L$8+50+N$10/2</f>
        <v>100.08983522605975</v>
      </c>
      <c r="U34" s="227"/>
      <c r="V34" s="228"/>
      <c r="W34" s="130"/>
      <c r="X34" s="38"/>
    </row>
    <row r="35" spans="2:24" ht="12.75">
      <c r="B35" s="129"/>
      <c r="C35" s="97" t="s">
        <v>53</v>
      </c>
      <c r="D35" s="108">
        <v>100</v>
      </c>
      <c r="E35" s="38"/>
      <c r="F35" s="97" t="s">
        <v>32</v>
      </c>
      <c r="G35" s="104">
        <f>D37*D40</f>
        <v>30</v>
      </c>
      <c r="H35" s="38" t="s">
        <v>33</v>
      </c>
      <c r="I35" s="105">
        <f>D35*D34</f>
        <v>2500</v>
      </c>
      <c r="J35" s="38" t="s">
        <v>34</v>
      </c>
      <c r="K35" s="127" t="s">
        <v>239</v>
      </c>
      <c r="L35" s="226">
        <f>L34+100</f>
        <v>109.70799540002379</v>
      </c>
      <c r="M35" s="39" t="s">
        <v>230</v>
      </c>
      <c r="N35" s="38"/>
      <c r="O35" s="41"/>
      <c r="P35" s="38" t="s">
        <v>54</v>
      </c>
      <c r="Q35" s="93">
        <v>30</v>
      </c>
      <c r="R35" s="43">
        <f t="shared" si="7"/>
        <v>0.36666666666666664</v>
      </c>
      <c r="S35" s="43">
        <f t="shared" si="8"/>
        <v>0.6902219212657655</v>
      </c>
      <c r="T35" s="227">
        <f t="shared" si="9"/>
        <v>101.90221921265766</v>
      </c>
      <c r="U35" s="227"/>
      <c r="V35" s="38"/>
      <c r="W35" s="130"/>
      <c r="X35" s="38"/>
    </row>
    <row r="36" spans="2:24" ht="12.75">
      <c r="B36" s="150"/>
      <c r="C36" s="45" t="s">
        <v>55</v>
      </c>
      <c r="D36" s="38"/>
      <c r="E36" s="38"/>
      <c r="F36" s="97" t="s">
        <v>56</v>
      </c>
      <c r="G36" s="151">
        <f>$F$7/($F$7+$H$7+$J$7/G34)</f>
        <v>0.1</v>
      </c>
      <c r="H36" s="152" t="s">
        <v>57</v>
      </c>
      <c r="I36" s="38"/>
      <c r="J36" s="54"/>
      <c r="K36" s="39"/>
      <c r="L36" s="39"/>
      <c r="M36" s="38"/>
      <c r="N36" s="38"/>
      <c r="O36" s="41"/>
      <c r="P36" s="38"/>
      <c r="Q36" s="93">
        <v>40</v>
      </c>
      <c r="R36" s="43">
        <f t="shared" si="7"/>
        <v>0.5333333333333333</v>
      </c>
      <c r="S36" s="43">
        <f t="shared" si="8"/>
        <v>0.8022576076005303</v>
      </c>
      <c r="T36" s="227">
        <f t="shared" si="9"/>
        <v>103.02257607600531</v>
      </c>
      <c r="U36" s="227"/>
      <c r="V36" s="38"/>
      <c r="W36" s="130"/>
      <c r="X36" s="38"/>
    </row>
    <row r="37" spans="2:24" ht="13.5">
      <c r="B37" s="129"/>
      <c r="C37" s="106" t="s">
        <v>38</v>
      </c>
      <c r="D37" s="108">
        <v>10</v>
      </c>
      <c r="E37" s="39"/>
      <c r="F37" s="39"/>
      <c r="G37" s="97" t="s">
        <v>59</v>
      </c>
      <c r="H37" s="153">
        <f>D35</f>
        <v>100</v>
      </c>
      <c r="I37" s="97" t="s">
        <v>48</v>
      </c>
      <c r="J37" s="43">
        <f>SelBurr(D37,H37)</f>
        <v>1.729595932727645</v>
      </c>
      <c r="K37" s="111" t="s">
        <v>143</v>
      </c>
      <c r="L37" s="43">
        <f>J37*L38</f>
        <v>0.6053585764546757</v>
      </c>
      <c r="M37" s="38"/>
      <c r="N37" s="227">
        <f>D40/(0.75+0.25*D40)</f>
        <v>2</v>
      </c>
      <c r="O37" s="39"/>
      <c r="P37" s="38" t="s">
        <v>188</v>
      </c>
      <c r="Q37" s="93">
        <v>50</v>
      </c>
      <c r="R37" s="43">
        <f t="shared" si="7"/>
        <v>0.7</v>
      </c>
      <c r="S37" s="43">
        <f t="shared" si="8"/>
        <v>0.8835674903785486</v>
      </c>
      <c r="T37" s="227">
        <f t="shared" si="9"/>
        <v>103.83567490378549</v>
      </c>
      <c r="U37" s="227"/>
      <c r="V37" s="38"/>
      <c r="W37" s="130"/>
      <c r="X37" s="38"/>
    </row>
    <row r="38" spans="2:24" ht="13.5">
      <c r="B38" s="129"/>
      <c r="C38" s="97" t="s">
        <v>61</v>
      </c>
      <c r="D38" s="43">
        <f>(0.25+0.75/$D$34)*SQRT($F$7)</f>
        <v>0.28</v>
      </c>
      <c r="E38" s="39"/>
      <c r="F38" s="38"/>
      <c r="G38" s="38"/>
      <c r="H38" s="38"/>
      <c r="I38" s="97" t="s">
        <v>62</v>
      </c>
      <c r="J38" s="43">
        <f>SQRT(0.25*$F$7+(0.75*$F$7+$H$7+$J$7/G34)/D34)</f>
        <v>0.8</v>
      </c>
      <c r="K38" s="111" t="s">
        <v>142</v>
      </c>
      <c r="L38" s="43">
        <f>D38/J38</f>
        <v>0.35000000000000003</v>
      </c>
      <c r="M38" s="38"/>
      <c r="N38" s="102">
        <f>N37*D37</f>
        <v>20</v>
      </c>
      <c r="O38" s="39"/>
      <c r="P38" s="38" t="s">
        <v>191</v>
      </c>
      <c r="Q38" s="93">
        <v>60</v>
      </c>
      <c r="R38" s="43">
        <f t="shared" si="7"/>
        <v>0.8666666666666667</v>
      </c>
      <c r="S38" s="43">
        <f t="shared" si="8"/>
        <v>0.9474274829828881</v>
      </c>
      <c r="T38" s="227">
        <f t="shared" si="9"/>
        <v>104.47427482982889</v>
      </c>
      <c r="U38" s="227"/>
      <c r="V38" s="38"/>
      <c r="W38" s="130"/>
      <c r="X38" s="38"/>
    </row>
    <row r="39" spans="2:24" ht="12.75">
      <c r="B39" s="150"/>
      <c r="C39" s="45" t="s">
        <v>64</v>
      </c>
      <c r="D39" s="38"/>
      <c r="E39" s="38"/>
      <c r="F39" s="38"/>
      <c r="G39" s="38"/>
      <c r="H39" s="38"/>
      <c r="I39" s="38"/>
      <c r="J39" s="54"/>
      <c r="K39" s="134"/>
      <c r="L39" s="54"/>
      <c r="M39" s="38"/>
      <c r="N39" s="43">
        <f>0.5/N38</f>
        <v>0.025</v>
      </c>
      <c r="O39" s="39"/>
      <c r="P39" s="38" t="s">
        <v>244</v>
      </c>
      <c r="Q39" s="93">
        <v>70</v>
      </c>
      <c r="R39" s="43">
        <f t="shared" si="7"/>
        <v>1.0333333333333334</v>
      </c>
      <c r="S39" s="43">
        <f t="shared" si="8"/>
        <v>0.9707995400023786</v>
      </c>
      <c r="T39" s="227">
        <f t="shared" si="9"/>
        <v>104.70799540002378</v>
      </c>
      <c r="U39" s="227"/>
      <c r="V39" s="38"/>
      <c r="W39" s="130"/>
      <c r="X39" s="38"/>
    </row>
    <row r="40" spans="2:24" ht="13.5" customHeight="1">
      <c r="B40" s="129"/>
      <c r="C40" s="106" t="s">
        <v>65</v>
      </c>
      <c r="D40" s="108">
        <v>3</v>
      </c>
      <c r="E40" s="38" t="s">
        <v>66</v>
      </c>
      <c r="F40" s="38"/>
      <c r="G40" s="38"/>
      <c r="H40" s="41">
        <f>D34</f>
        <v>25</v>
      </c>
      <c r="I40" s="97" t="s">
        <v>48</v>
      </c>
      <c r="J40" s="43">
        <f>SelBurr(D40,H40)</f>
        <v>1.5824057900788682</v>
      </c>
      <c r="K40" s="111" t="s">
        <v>144</v>
      </c>
      <c r="L40" s="43">
        <f>J40*L41</f>
        <v>0.3654409635477028</v>
      </c>
      <c r="M40" s="38"/>
      <c r="N40" s="38"/>
      <c r="O40" s="39"/>
      <c r="P40" s="57"/>
      <c r="Q40" s="53"/>
      <c r="R40" s="39" t="s">
        <v>44</v>
      </c>
      <c r="S40" s="220">
        <f>(L$37+L$40)</f>
        <v>0.9707995400023786</v>
      </c>
      <c r="T40" s="227">
        <f t="shared" si="9"/>
        <v>104.70799540002378</v>
      </c>
      <c r="U40" s="227"/>
      <c r="V40" s="38"/>
      <c r="W40" s="130"/>
      <c r="X40" s="38"/>
    </row>
    <row r="41" spans="2:24" ht="14.25" thickBot="1">
      <c r="B41" s="135"/>
      <c r="C41" s="136" t="s">
        <v>67</v>
      </c>
      <c r="D41" s="137">
        <f>0.75*(1-1/$D$34)*SQRT($F$7)</f>
        <v>0.72</v>
      </c>
      <c r="E41" s="138"/>
      <c r="F41" s="139"/>
      <c r="G41" s="139"/>
      <c r="H41" s="138"/>
      <c r="I41" s="136" t="s">
        <v>68</v>
      </c>
      <c r="J41" s="137">
        <f>SQRT(0.75*$F$7*(1-1/D34)+$H$7+$J$7/G34)</f>
        <v>3.117691453623979</v>
      </c>
      <c r="K41" s="140" t="s">
        <v>142</v>
      </c>
      <c r="L41" s="137">
        <f>D41/J41</f>
        <v>0.2309401076758503</v>
      </c>
      <c r="M41" s="139"/>
      <c r="N41" s="155">
        <f>D40*D37</f>
        <v>30</v>
      </c>
      <c r="O41" s="141"/>
      <c r="P41" s="139" t="s">
        <v>190</v>
      </c>
      <c r="Q41" s="141">
        <f>0.125*(D40-1)/N41</f>
        <v>0.008333333333333333</v>
      </c>
      <c r="R41" s="139"/>
      <c r="S41" s="139"/>
      <c r="T41" s="139"/>
      <c r="U41" s="139"/>
      <c r="V41" s="139"/>
      <c r="W41" s="143"/>
      <c r="X41" s="38"/>
    </row>
    <row r="42" spans="10:24" ht="12.75" thickTop="1">
      <c r="J42" s="8"/>
      <c r="K42" s="79"/>
      <c r="L42" s="9"/>
      <c r="O42" s="6"/>
      <c r="Q42" s="12"/>
      <c r="T42" s="38"/>
      <c r="U42" s="38"/>
      <c r="V42" s="38"/>
      <c r="W42" s="38"/>
      <c r="X42" s="38"/>
    </row>
    <row r="43" spans="10:24" ht="12" thickBot="1">
      <c r="J43" s="8"/>
      <c r="L43" s="38"/>
      <c r="O43" s="6"/>
      <c r="Q43" s="12"/>
      <c r="T43" s="38"/>
      <c r="U43" s="38"/>
      <c r="V43" s="38"/>
      <c r="W43" s="38"/>
      <c r="X43" s="38"/>
    </row>
    <row r="44" spans="2:38" s="38" customFormat="1" ht="13.5" thickTop="1">
      <c r="B44" s="118" t="s">
        <v>69</v>
      </c>
      <c r="C44" s="119"/>
      <c r="D44" s="120"/>
      <c r="E44" s="119"/>
      <c r="F44" s="119"/>
      <c r="G44" s="119"/>
      <c r="H44" s="119"/>
      <c r="I44" s="119"/>
      <c r="J44" s="121"/>
      <c r="K44" s="122"/>
      <c r="L44" s="119"/>
      <c r="M44" s="119"/>
      <c r="N44" s="119"/>
      <c r="O44" s="123"/>
      <c r="P44" s="119"/>
      <c r="Q44" s="124"/>
      <c r="R44" s="119"/>
      <c r="S44" s="119"/>
      <c r="T44" s="119"/>
      <c r="U44" s="119"/>
      <c r="V44" s="231">
        <v>12</v>
      </c>
      <c r="W44" s="231">
        <v>3</v>
      </c>
      <c r="X44" s="119"/>
      <c r="Y44" s="125"/>
      <c r="AI44" s="39"/>
      <c r="AJ44" s="39"/>
      <c r="AK44" s="39"/>
      <c r="AL44" s="39"/>
    </row>
    <row r="45" spans="2:25" ht="13.5">
      <c r="B45" s="126"/>
      <c r="C45" s="45" t="s">
        <v>28</v>
      </c>
      <c r="D45" s="38"/>
      <c r="E45" s="39"/>
      <c r="F45" s="39"/>
      <c r="G45" s="38"/>
      <c r="H45" s="38"/>
      <c r="I45" s="38"/>
      <c r="J45" s="91" t="s">
        <v>29</v>
      </c>
      <c r="K45" s="127" t="s">
        <v>234</v>
      </c>
      <c r="L45" s="92">
        <f>L$5*(L49+L52)</f>
        <v>1.0835985127059244</v>
      </c>
      <c r="M45" s="225" t="s">
        <v>229</v>
      </c>
      <c r="N45" s="38"/>
      <c r="O45" s="41">
        <f>D46*D47*G46</f>
        <v>2520</v>
      </c>
      <c r="P45" s="38" t="s">
        <v>30</v>
      </c>
      <c r="Q45" s="93">
        <v>20</v>
      </c>
      <c r="R45" s="43">
        <f aca="true" t="shared" si="10" ref="R45:R51">(Q45-V$44-W$44)/$Q$8</f>
        <v>0.08333333333333333</v>
      </c>
      <c r="S45" s="43">
        <f aca="true" t="shared" si="11" ref="S45:S51">rg(R45)*S$52</f>
        <v>0.28065201479083446</v>
      </c>
      <c r="T45" s="227">
        <f>rg($R45)*S$52*L$8+100</f>
        <v>102.80652014790834</v>
      </c>
      <c r="U45" s="227">
        <f aca="true" t="shared" si="12" ref="U45:U51">T45-Y$49-Y$50-Y$51-Y$52</f>
        <v>96.83985348124168</v>
      </c>
      <c r="V45" s="38"/>
      <c r="W45" s="53" t="s">
        <v>246</v>
      </c>
      <c r="X45" s="38"/>
      <c r="Y45" s="130">
        <f>N$10-0.7-2</f>
        <v>87.3</v>
      </c>
    </row>
    <row r="46" spans="2:25" ht="12.75">
      <c r="B46" s="129"/>
      <c r="C46" s="97" t="s">
        <v>31</v>
      </c>
      <c r="D46" s="108">
        <v>30</v>
      </c>
      <c r="E46" s="38"/>
      <c r="F46" s="97" t="s">
        <v>51</v>
      </c>
      <c r="G46" s="108">
        <v>1</v>
      </c>
      <c r="H46" s="38" t="s">
        <v>52</v>
      </c>
      <c r="I46" s="100"/>
      <c r="J46" s="101"/>
      <c r="K46" s="127" t="s">
        <v>186</v>
      </c>
      <c r="L46" s="226">
        <f>L$8*L45</f>
        <v>10.835985127059244</v>
      </c>
      <c r="M46" s="39" t="s">
        <v>230</v>
      </c>
      <c r="N46" s="38"/>
      <c r="O46" s="102">
        <f>$O$5+I48*($O$7+$O$6*D46*G46/2)</f>
        <v>4200</v>
      </c>
      <c r="P46" s="38" t="s">
        <v>83</v>
      </c>
      <c r="Q46" s="93">
        <v>30</v>
      </c>
      <c r="R46" s="43">
        <f t="shared" si="10"/>
        <v>0.25</v>
      </c>
      <c r="S46" s="43">
        <f t="shared" si="11"/>
        <v>0.6425970385323491</v>
      </c>
      <c r="T46" s="227">
        <f aca="true" t="shared" si="13" ref="T46:T52">rg($R46)*S$52*L$8+100</f>
        <v>106.4259703853235</v>
      </c>
      <c r="U46" s="227">
        <f t="shared" si="12"/>
        <v>100.45930371865683</v>
      </c>
      <c r="V46" s="38"/>
      <c r="W46" s="39" t="s">
        <v>247</v>
      </c>
      <c r="X46" s="38"/>
      <c r="Y46" s="232">
        <f>Y48-Y49-Y50-Y51-Y52</f>
        <v>104.86931846039258</v>
      </c>
    </row>
    <row r="47" spans="2:25" ht="12.75">
      <c r="B47" s="129"/>
      <c r="C47" s="97" t="s">
        <v>53</v>
      </c>
      <c r="D47" s="108">
        <v>84</v>
      </c>
      <c r="E47" s="38"/>
      <c r="F47" s="97" t="s">
        <v>32</v>
      </c>
      <c r="G47" s="104">
        <f>D49*D52</f>
        <v>30</v>
      </c>
      <c r="H47" s="38" t="s">
        <v>33</v>
      </c>
      <c r="I47" s="105">
        <f>D47*D46</f>
        <v>2520</v>
      </c>
      <c r="J47" s="38" t="s">
        <v>34</v>
      </c>
      <c r="K47" s="127" t="s">
        <v>239</v>
      </c>
      <c r="L47" s="226">
        <f>L46+100</f>
        <v>110.83598512705925</v>
      </c>
      <c r="M47" s="39" t="s">
        <v>230</v>
      </c>
      <c r="N47" s="38"/>
      <c r="O47" s="41"/>
      <c r="P47" s="38" t="s">
        <v>70</v>
      </c>
      <c r="Q47" s="93">
        <v>40</v>
      </c>
      <c r="R47" s="43">
        <f t="shared" si="10"/>
        <v>0.4166666666666667</v>
      </c>
      <c r="S47" s="43">
        <f t="shared" si="11"/>
        <v>0.8130842434711394</v>
      </c>
      <c r="T47" s="227">
        <f t="shared" si="13"/>
        <v>108.1308424347114</v>
      </c>
      <c r="U47" s="227">
        <f t="shared" si="12"/>
        <v>102.16417576804473</v>
      </c>
      <c r="V47" s="38"/>
      <c r="W47" s="38" t="s">
        <v>253</v>
      </c>
      <c r="X47" s="38"/>
      <c r="Y47" s="233">
        <f>N52</f>
        <v>30</v>
      </c>
    </row>
    <row r="48" spans="2:25" ht="12.75">
      <c r="B48" s="129"/>
      <c r="C48" s="45" t="s">
        <v>55</v>
      </c>
      <c r="D48" s="39"/>
      <c r="E48" s="38"/>
      <c r="F48" s="38"/>
      <c r="G48" s="39"/>
      <c r="H48" s="97" t="s">
        <v>71</v>
      </c>
      <c r="I48" s="131">
        <f>D47*2</f>
        <v>168</v>
      </c>
      <c r="J48" s="39" t="s">
        <v>72</v>
      </c>
      <c r="K48" s="38"/>
      <c r="L48" s="38"/>
      <c r="M48" s="38"/>
      <c r="N48" s="38"/>
      <c r="O48" s="41"/>
      <c r="P48" s="38"/>
      <c r="Q48" s="93">
        <v>50</v>
      </c>
      <c r="R48" s="43">
        <f t="shared" si="10"/>
        <v>0.5833333333333334</v>
      </c>
      <c r="S48" s="43">
        <f t="shared" si="11"/>
        <v>0.9253812945433706</v>
      </c>
      <c r="T48" s="227">
        <f t="shared" si="13"/>
        <v>109.25381294543371</v>
      </c>
      <c r="U48" s="227">
        <f t="shared" si="12"/>
        <v>103.28714627876704</v>
      </c>
      <c r="V48" s="38"/>
      <c r="W48" s="38" t="s">
        <v>252</v>
      </c>
      <c r="X48" s="38"/>
      <c r="Y48" s="232">
        <f>L47</f>
        <v>110.83598512705925</v>
      </c>
    </row>
    <row r="49" spans="2:25" ht="13.5">
      <c r="B49" s="129"/>
      <c r="C49" s="106" t="s">
        <v>38</v>
      </c>
      <c r="D49" s="107">
        <v>15</v>
      </c>
      <c r="E49" s="39"/>
      <c r="F49" s="39"/>
      <c r="G49" s="97" t="s">
        <v>74</v>
      </c>
      <c r="H49" s="41">
        <f>D47</f>
        <v>84</v>
      </c>
      <c r="I49" s="132" t="s">
        <v>48</v>
      </c>
      <c r="J49" s="43">
        <f>SelBurr(D49,H49)</f>
        <v>1.4435885020958474</v>
      </c>
      <c r="K49" s="111" t="s">
        <v>143</v>
      </c>
      <c r="L49" s="43">
        <f>J49*L50</f>
        <v>0.7964039925032902</v>
      </c>
      <c r="M49" s="38"/>
      <c r="N49" s="43">
        <f>2*D52/(1+D52)</f>
        <v>1.3333333333333333</v>
      </c>
      <c r="O49" s="39"/>
      <c r="P49" s="38" t="s">
        <v>189</v>
      </c>
      <c r="Q49" s="93">
        <v>60</v>
      </c>
      <c r="R49" s="43">
        <f t="shared" si="10"/>
        <v>0.75</v>
      </c>
      <c r="S49" s="43">
        <f t="shared" si="11"/>
        <v>1.0092570682810433</v>
      </c>
      <c r="T49" s="227">
        <f t="shared" si="13"/>
        <v>110.09257068281043</v>
      </c>
      <c r="U49" s="227">
        <f t="shared" si="12"/>
        <v>104.12590401614376</v>
      </c>
      <c r="V49" s="38"/>
      <c r="W49" s="38" t="s">
        <v>248</v>
      </c>
      <c r="X49" s="38"/>
      <c r="Y49" s="130">
        <f>0.7+18/Y47</f>
        <v>1.2999999999999998</v>
      </c>
    </row>
    <row r="50" spans="2:25" ht="13.5">
      <c r="B50" s="133"/>
      <c r="C50" s="97" t="s">
        <v>76</v>
      </c>
      <c r="D50" s="43">
        <f>0.5*(1+1/D46)*SQRT($F$7)</f>
        <v>0.5166666666666667</v>
      </c>
      <c r="E50" s="39"/>
      <c r="F50" s="39"/>
      <c r="G50" s="39"/>
      <c r="H50" s="53"/>
      <c r="I50" s="97" t="s">
        <v>112</v>
      </c>
      <c r="J50" s="43">
        <f>SQRT(0.5*$F$7*(1+1/D46)+$H$7/4+(0.75*$H$7+$J$7/G46)/D46)</f>
        <v>0.9365272731390867</v>
      </c>
      <c r="K50" s="111" t="s">
        <v>142</v>
      </c>
      <c r="L50" s="43">
        <f>D$50/J$50</f>
        <v>0.551683524319462</v>
      </c>
      <c r="M50" s="38"/>
      <c r="N50" s="102">
        <f>N49*D49</f>
        <v>20</v>
      </c>
      <c r="O50" s="39"/>
      <c r="P50" s="38" t="s">
        <v>77</v>
      </c>
      <c r="Q50" s="93">
        <v>70</v>
      </c>
      <c r="R50" s="43">
        <f t="shared" si="10"/>
        <v>0.9166666666666666</v>
      </c>
      <c r="S50" s="43">
        <f t="shared" si="11"/>
        <v>1.0727625275788653</v>
      </c>
      <c r="T50" s="227">
        <f t="shared" si="13"/>
        <v>110.72762527578865</v>
      </c>
      <c r="U50" s="227">
        <f t="shared" si="12"/>
        <v>104.76095860912199</v>
      </c>
      <c r="V50" s="38"/>
      <c r="W50" s="38" t="s">
        <v>249</v>
      </c>
      <c r="X50" s="38"/>
      <c r="Y50" s="232">
        <f>80*Q53</f>
        <v>0.6666666666666666</v>
      </c>
    </row>
    <row r="51" spans="2:25" ht="12.75">
      <c r="B51" s="129"/>
      <c r="C51" s="45" t="s">
        <v>64</v>
      </c>
      <c r="D51" s="38"/>
      <c r="E51" s="38"/>
      <c r="F51" s="38"/>
      <c r="G51" s="38"/>
      <c r="H51" s="38"/>
      <c r="I51" s="38"/>
      <c r="J51" s="54"/>
      <c r="K51" s="134"/>
      <c r="L51" s="54"/>
      <c r="M51" s="38"/>
      <c r="N51" s="43">
        <f>0.5/N50</f>
        <v>0.025</v>
      </c>
      <c r="O51" s="39"/>
      <c r="P51" s="38" t="s">
        <v>244</v>
      </c>
      <c r="Q51" s="93">
        <v>80</v>
      </c>
      <c r="R51" s="43">
        <f t="shared" si="10"/>
        <v>1.0833333333333333</v>
      </c>
      <c r="S51" s="43">
        <f t="shared" si="11"/>
        <v>1.0835985127059244</v>
      </c>
      <c r="T51" s="227">
        <f t="shared" si="13"/>
        <v>110.83598512705925</v>
      </c>
      <c r="U51" s="227">
        <f t="shared" si="12"/>
        <v>104.86931846039258</v>
      </c>
      <c r="V51" s="38"/>
      <c r="W51" s="53" t="s">
        <v>245</v>
      </c>
      <c r="X51" s="53"/>
      <c r="Y51" s="166">
        <v>0</v>
      </c>
    </row>
    <row r="52" spans="2:25" ht="13.5">
      <c r="B52" s="129"/>
      <c r="C52" s="106" t="s">
        <v>65</v>
      </c>
      <c r="D52" s="108">
        <v>2</v>
      </c>
      <c r="E52" s="39"/>
      <c r="F52" s="38"/>
      <c r="G52" s="100" t="s">
        <v>86</v>
      </c>
      <c r="H52" s="41">
        <f>D46</f>
        <v>30</v>
      </c>
      <c r="I52" s="38" t="s">
        <v>79</v>
      </c>
      <c r="J52" s="43">
        <f>SelBurr(D52,H52)</f>
        <v>1.8231817024137225</v>
      </c>
      <c r="K52" s="111" t="s">
        <v>144</v>
      </c>
      <c r="L52" s="43">
        <f>J52*L53</f>
        <v>0.28719452020263425</v>
      </c>
      <c r="M52" s="38"/>
      <c r="N52" s="104">
        <f>D49*D52</f>
        <v>30</v>
      </c>
      <c r="O52" s="41"/>
      <c r="P52" s="38" t="s">
        <v>116</v>
      </c>
      <c r="Q52" s="42"/>
      <c r="R52" s="39" t="s">
        <v>44</v>
      </c>
      <c r="S52" s="222">
        <f>(L49+L52)</f>
        <v>1.0835985127059244</v>
      </c>
      <c r="T52" s="227">
        <f t="shared" si="13"/>
        <v>110.83598512705925</v>
      </c>
      <c r="U52" s="227">
        <f>T52-Y$49-Y$50-Y$51-Y$52</f>
        <v>104.86931846039258</v>
      </c>
      <c r="V52" s="38"/>
      <c r="W52" s="38" t="s">
        <v>254</v>
      </c>
      <c r="X52" s="39"/>
      <c r="Y52" s="156">
        <f>0.4*(100-N$10)</f>
        <v>4</v>
      </c>
    </row>
    <row r="53" spans="2:38" s="12" customFormat="1" ht="14.25" thickBot="1">
      <c r="B53" s="135"/>
      <c r="C53" s="136" t="s">
        <v>80</v>
      </c>
      <c r="D53" s="137">
        <f>0.5*SQRT(F$7)*(1-1/D46)</f>
        <v>0.48333333333333334</v>
      </c>
      <c r="E53" s="138"/>
      <c r="F53" s="139"/>
      <c r="G53" s="139"/>
      <c r="H53" s="139"/>
      <c r="I53" s="136" t="s">
        <v>81</v>
      </c>
      <c r="J53" s="137">
        <f>SQRT((0.5*$F$7+0.75*$H$7)*(1-1/D46)+$J$7/G46)</f>
        <v>3.0683193010723855</v>
      </c>
      <c r="K53" s="140" t="s">
        <v>142</v>
      </c>
      <c r="L53" s="137">
        <f>D53/J53</f>
        <v>0.15752380567576754</v>
      </c>
      <c r="M53" s="139"/>
      <c r="N53" s="139"/>
      <c r="O53" s="141"/>
      <c r="P53" s="139" t="s">
        <v>190</v>
      </c>
      <c r="Q53" s="141">
        <f>0.25*(D52-1)/N52</f>
        <v>0.008333333333333333</v>
      </c>
      <c r="R53" s="142"/>
      <c r="S53" s="142"/>
      <c r="T53" s="142"/>
      <c r="U53" s="142"/>
      <c r="V53" s="139"/>
      <c r="W53" s="139"/>
      <c r="X53" s="139"/>
      <c r="Y53" s="234"/>
      <c r="AI53"/>
      <c r="AJ53"/>
      <c r="AK53"/>
      <c r="AL53"/>
    </row>
    <row r="54" spans="5:24" ht="13.5" thickTop="1">
      <c r="E54" s="39"/>
      <c r="O54" s="6"/>
      <c r="Q54" s="29"/>
      <c r="T54" s="38"/>
      <c r="U54" s="38"/>
      <c r="V54" s="53"/>
      <c r="W54" s="53"/>
      <c r="X54" s="38"/>
    </row>
    <row r="55" spans="13:24" ht="13.5" thickBot="1">
      <c r="M55"/>
      <c r="N55"/>
      <c r="O55" s="6"/>
      <c r="Q55" s="29"/>
      <c r="T55" s="38"/>
      <c r="U55" s="38"/>
      <c r="V55" s="38"/>
      <c r="W55" s="38"/>
      <c r="X55" s="38"/>
    </row>
    <row r="56" spans="2:38" s="38" customFormat="1" ht="13.5" thickTop="1">
      <c r="B56" s="118" t="s">
        <v>82</v>
      </c>
      <c r="C56" s="119"/>
      <c r="D56" s="120"/>
      <c r="E56" s="119"/>
      <c r="F56" s="119"/>
      <c r="G56" s="119"/>
      <c r="H56" s="119"/>
      <c r="I56" s="119"/>
      <c r="J56" s="119"/>
      <c r="K56" s="119"/>
      <c r="L56" s="119"/>
      <c r="M56" s="119"/>
      <c r="N56" s="119"/>
      <c r="O56" s="123"/>
      <c r="P56" s="119"/>
      <c r="Q56" s="144"/>
      <c r="R56" s="119"/>
      <c r="S56" s="119"/>
      <c r="T56" s="125"/>
      <c r="V56" s="94">
        <v>5</v>
      </c>
      <c r="W56" s="94">
        <v>3</v>
      </c>
      <c r="AI56" s="39"/>
      <c r="AJ56" s="39"/>
      <c r="AK56" s="39"/>
      <c r="AL56" s="39"/>
    </row>
    <row r="57" spans="2:24" ht="13.5">
      <c r="B57" s="126"/>
      <c r="C57" s="45" t="s">
        <v>28</v>
      </c>
      <c r="D57" s="38"/>
      <c r="E57" s="39"/>
      <c r="F57" s="39"/>
      <c r="G57" s="38"/>
      <c r="H57" s="38"/>
      <c r="I57" s="38"/>
      <c r="J57" s="91" t="s">
        <v>29</v>
      </c>
      <c r="K57" s="91" t="s">
        <v>235</v>
      </c>
      <c r="L57" s="92">
        <f>L$5*J60*L61</f>
        <v>1.266345835452319</v>
      </c>
      <c r="M57" s="225" t="s">
        <v>229</v>
      </c>
      <c r="N57" s="39"/>
      <c r="O57" s="41">
        <f>H60*G58</f>
        <v>2500</v>
      </c>
      <c r="P57" s="38" t="s">
        <v>30</v>
      </c>
      <c r="Q57" s="93">
        <v>10</v>
      </c>
      <c r="R57" s="43">
        <f aca="true" t="shared" si="14" ref="R57:R62">(Q57-V$56-W$56)/$Q$8</f>
        <v>0.03333333333333333</v>
      </c>
      <c r="S57" s="43">
        <f>rg(R57)*S$63</f>
        <v>0.13119342855286023</v>
      </c>
      <c r="T57" s="236">
        <f>rg($R57)*S$63*L$8+100</f>
        <v>101.31193428552861</v>
      </c>
      <c r="U57" s="227"/>
      <c r="V57" s="38"/>
      <c r="W57" s="38"/>
      <c r="X57" s="38"/>
    </row>
    <row r="58" spans="2:24" ht="13.5">
      <c r="B58" s="129"/>
      <c r="C58" s="97"/>
      <c r="D58" s="98"/>
      <c r="E58" s="38"/>
      <c r="F58" s="97" t="s">
        <v>51</v>
      </c>
      <c r="G58" s="99">
        <v>10</v>
      </c>
      <c r="H58" s="38" t="s">
        <v>52</v>
      </c>
      <c r="I58" s="100"/>
      <c r="J58" s="39"/>
      <c r="K58" s="91" t="s">
        <v>187</v>
      </c>
      <c r="L58" s="226">
        <f>L$8*L57</f>
        <v>12.66345835452319</v>
      </c>
      <c r="M58" s="39" t="s">
        <v>230</v>
      </c>
      <c r="N58" s="39"/>
      <c r="O58" s="102">
        <f>$O$5+H60*(G58*$O$6+$O$7)</f>
        <v>5000</v>
      </c>
      <c r="P58" s="38" t="s">
        <v>83</v>
      </c>
      <c r="Q58" s="93">
        <v>20</v>
      </c>
      <c r="R58" s="43">
        <f t="shared" si="14"/>
        <v>0.2</v>
      </c>
      <c r="S58" s="43">
        <f>rg(R58)*S$63</f>
        <v>0.6639364128297264</v>
      </c>
      <c r="T58" s="236">
        <f aca="true" t="shared" si="15" ref="T58:T63">rg($R58)*S$63*L$8+100</f>
        <v>106.63936412829726</v>
      </c>
      <c r="U58" s="227"/>
      <c r="V58" s="38"/>
      <c r="W58" s="38"/>
      <c r="X58" s="38"/>
    </row>
    <row r="59" spans="2:24" ht="13.5">
      <c r="B59" s="129"/>
      <c r="C59" s="45" t="s">
        <v>84</v>
      </c>
      <c r="D59" s="39"/>
      <c r="E59" s="38"/>
      <c r="F59" s="97" t="s">
        <v>32</v>
      </c>
      <c r="G59" s="104">
        <f>D60</f>
        <v>20</v>
      </c>
      <c r="H59" s="38" t="s">
        <v>33</v>
      </c>
      <c r="I59" s="105">
        <f>H60</f>
        <v>250</v>
      </c>
      <c r="J59" s="38" t="s">
        <v>34</v>
      </c>
      <c r="K59" s="91" t="s">
        <v>240</v>
      </c>
      <c r="L59" s="226">
        <f>L58+100</f>
        <v>112.66345835452319</v>
      </c>
      <c r="M59" s="39" t="s">
        <v>230</v>
      </c>
      <c r="N59" s="39"/>
      <c r="O59" s="41"/>
      <c r="P59" s="38" t="s">
        <v>104</v>
      </c>
      <c r="Q59" s="93">
        <v>30</v>
      </c>
      <c r="R59" s="43">
        <f t="shared" si="14"/>
        <v>0.36666666666666664</v>
      </c>
      <c r="S59" s="43">
        <f>rg(R59)*S$63</f>
        <v>0.900350298405229</v>
      </c>
      <c r="T59" s="236">
        <f t="shared" si="15"/>
        <v>109.00350298405229</v>
      </c>
      <c r="U59" s="227"/>
      <c r="V59" s="38"/>
      <c r="W59" s="38"/>
      <c r="X59" s="38"/>
    </row>
    <row r="60" spans="2:24" ht="12.75">
      <c r="B60" s="129"/>
      <c r="C60" s="106" t="s">
        <v>145</v>
      </c>
      <c r="D60" s="107">
        <v>20</v>
      </c>
      <c r="E60" s="39"/>
      <c r="F60" s="39"/>
      <c r="G60" s="97" t="s">
        <v>86</v>
      </c>
      <c r="H60" s="108">
        <v>250</v>
      </c>
      <c r="I60" s="97" t="s">
        <v>178</v>
      </c>
      <c r="J60" s="43">
        <f>SelBurr(D60,H60)</f>
        <v>1.8460004121900389</v>
      </c>
      <c r="K60" s="39"/>
      <c r="L60" s="39"/>
      <c r="M60" s="39"/>
      <c r="N60" s="109">
        <f>D60</f>
        <v>20</v>
      </c>
      <c r="O60" s="39"/>
      <c r="P60" s="38" t="s">
        <v>259</v>
      </c>
      <c r="Q60" s="93">
        <v>40</v>
      </c>
      <c r="R60" s="43">
        <f t="shared" si="14"/>
        <v>0.5333333333333333</v>
      </c>
      <c r="S60" s="43">
        <f>rg(R60)*S$63</f>
        <v>1.0464936771008184</v>
      </c>
      <c r="T60" s="236">
        <f t="shared" si="15"/>
        <v>110.46493677100818</v>
      </c>
      <c r="U60" s="227"/>
      <c r="V60" s="38"/>
      <c r="W60" s="38"/>
      <c r="X60" s="38"/>
    </row>
    <row r="61" spans="2:24" ht="13.5">
      <c r="B61" s="133"/>
      <c r="C61" s="97" t="s">
        <v>87</v>
      </c>
      <c r="D61" s="43">
        <f>SQRT($F$7)</f>
        <v>1</v>
      </c>
      <c r="E61" s="39"/>
      <c r="F61" s="39"/>
      <c r="G61" s="39"/>
      <c r="H61" s="53"/>
      <c r="I61" s="97" t="s">
        <v>125</v>
      </c>
      <c r="J61" s="43">
        <f>SQRT($F$7+$H$7+$J$7/G58)</f>
        <v>1.4577379737113252</v>
      </c>
      <c r="K61" s="111" t="s">
        <v>142</v>
      </c>
      <c r="L61" s="43">
        <f>D61/J61</f>
        <v>0.6859943405700353</v>
      </c>
      <c r="M61" s="38"/>
      <c r="N61" s="43">
        <f>0.5/N60</f>
        <v>0.025</v>
      </c>
      <c r="O61" s="39"/>
      <c r="P61" s="38" t="s">
        <v>244</v>
      </c>
      <c r="Q61" s="93">
        <v>50</v>
      </c>
      <c r="R61" s="43">
        <f t="shared" si="14"/>
        <v>0.7</v>
      </c>
      <c r="S61" s="43">
        <f>rg(R61)*S$63</f>
        <v>1.1525572125623282</v>
      </c>
      <c r="T61" s="236">
        <f t="shared" si="15"/>
        <v>111.52557212562328</v>
      </c>
      <c r="U61" s="227"/>
      <c r="V61" s="38"/>
      <c r="W61" s="38"/>
      <c r="X61" s="38"/>
    </row>
    <row r="62" spans="2:24" ht="12.75">
      <c r="B62" s="129"/>
      <c r="C62" s="39"/>
      <c r="D62" s="39"/>
      <c r="E62" s="39"/>
      <c r="F62" s="39"/>
      <c r="G62" s="39"/>
      <c r="H62" s="39"/>
      <c r="I62" s="39"/>
      <c r="J62" s="39"/>
      <c r="K62" s="39"/>
      <c r="L62" s="38"/>
      <c r="M62" s="38"/>
      <c r="N62" s="104">
        <f>D60</f>
        <v>20</v>
      </c>
      <c r="O62" s="41"/>
      <c r="P62" s="38" t="s">
        <v>116</v>
      </c>
      <c r="Q62" s="93">
        <v>60</v>
      </c>
      <c r="R62" s="43">
        <f t="shared" si="14"/>
        <v>0.8666666666666667</v>
      </c>
      <c r="S62" s="43">
        <f>rg(R62)*S63</f>
        <v>1.2358584836839885</v>
      </c>
      <c r="T62" s="236">
        <f t="shared" si="15"/>
        <v>112.35858483683988</v>
      </c>
      <c r="U62" s="227"/>
      <c r="V62" s="38"/>
      <c r="W62" s="38"/>
      <c r="X62" s="38"/>
    </row>
    <row r="63" spans="2:24" ht="13.5" thickBot="1">
      <c r="B63" s="184"/>
      <c r="C63" s="139"/>
      <c r="D63" s="240"/>
      <c r="E63" s="136"/>
      <c r="F63" s="139"/>
      <c r="G63" s="139"/>
      <c r="H63" s="139"/>
      <c r="I63" s="139"/>
      <c r="J63" s="139"/>
      <c r="K63" s="139"/>
      <c r="L63" s="139"/>
      <c r="M63" s="139"/>
      <c r="N63" s="139"/>
      <c r="O63" s="139"/>
      <c r="P63" s="139"/>
      <c r="Q63" s="139"/>
      <c r="R63" s="138" t="s">
        <v>44</v>
      </c>
      <c r="S63" s="218">
        <f>L61*J60</f>
        <v>1.266345835452319</v>
      </c>
      <c r="T63" s="241">
        <f t="shared" si="15"/>
        <v>112.66345835452319</v>
      </c>
      <c r="U63" s="227"/>
      <c r="V63" s="38"/>
      <c r="W63" s="38"/>
      <c r="X63" s="38"/>
    </row>
    <row r="64" spans="20:24" ht="12" thickTop="1">
      <c r="T64" s="38"/>
      <c r="U64" s="38"/>
      <c r="V64" s="38"/>
      <c r="W64" s="38"/>
      <c r="X64" s="38"/>
    </row>
    <row r="65" spans="3:5" ht="11.25">
      <c r="C65" s="68"/>
      <c r="D65" s="317" t="s">
        <v>192</v>
      </c>
      <c r="E65" s="318"/>
    </row>
    <row r="66" spans="3:5" ht="11.25">
      <c r="C66" s="69"/>
      <c r="D66" s="38" t="s">
        <v>130</v>
      </c>
      <c r="E66" s="70" t="s">
        <v>131</v>
      </c>
    </row>
    <row r="67" spans="3:15" ht="12.75">
      <c r="C67" s="71" t="s">
        <v>11</v>
      </c>
      <c r="D67" s="76">
        <v>1</v>
      </c>
      <c r="E67" s="74">
        <f>D67*D74</f>
        <v>0.8338270283591706</v>
      </c>
      <c r="O67" s="39"/>
    </row>
    <row r="68" spans="3:5" ht="12.75">
      <c r="C68" s="73" t="s">
        <v>19</v>
      </c>
      <c r="D68" s="76">
        <v>0.2</v>
      </c>
      <c r="E68" s="77">
        <v>0.8</v>
      </c>
    </row>
    <row r="69" spans="3:5" ht="12.75">
      <c r="C69" s="69" t="s">
        <v>133</v>
      </c>
      <c r="D69" s="76">
        <v>100</v>
      </c>
      <c r="E69" s="72">
        <f>D70</f>
        <v>10</v>
      </c>
    </row>
    <row r="70" spans="3:5" ht="12.75">
      <c r="C70" s="69" t="s">
        <v>132</v>
      </c>
      <c r="D70" s="76">
        <v>10</v>
      </c>
      <c r="E70" s="77">
        <v>2</v>
      </c>
    </row>
    <row r="71" spans="3:5" ht="11.25">
      <c r="C71" s="69" t="s">
        <v>134</v>
      </c>
      <c r="D71" s="43">
        <f>SelBurr(D70,D69)</f>
        <v>1.729595932727645</v>
      </c>
      <c r="E71" s="74">
        <f>SelBurr(E70,E69)</f>
        <v>1.2699218214906538</v>
      </c>
    </row>
    <row r="72" spans="3:5" ht="11.25">
      <c r="C72" s="69" t="s">
        <v>134</v>
      </c>
      <c r="D72" s="43">
        <f>sel(D70/D69)</f>
        <v>1.7549833280006826</v>
      </c>
      <c r="E72" s="70"/>
    </row>
    <row r="73" spans="3:5" ht="11.25">
      <c r="C73" s="69" t="s">
        <v>135</v>
      </c>
      <c r="D73" s="41">
        <f>tr(D70/D69)</f>
        <v>1.2815515609019674</v>
      </c>
      <c r="E73" s="70"/>
    </row>
    <row r="74" spans="3:5" ht="12.75">
      <c r="C74" s="69" t="s">
        <v>194</v>
      </c>
      <c r="D74" s="41">
        <f>1-D68*D72*(D72-D73)</f>
        <v>0.8338270283591706</v>
      </c>
      <c r="E74" s="70"/>
    </row>
    <row r="75" spans="3:5" ht="12.75">
      <c r="C75" s="69" t="s">
        <v>193</v>
      </c>
      <c r="D75" s="41">
        <f>D71*SQRT(D68*D67)</f>
        <v>0.7734988158372335</v>
      </c>
      <c r="E75" s="74">
        <f>E71*SQRT(E68*E67)</f>
        <v>1.0371939233363323</v>
      </c>
    </row>
    <row r="76" spans="3:5" ht="12.75">
      <c r="C76" s="75" t="s">
        <v>136</v>
      </c>
      <c r="D76" s="58"/>
      <c r="E76" s="78">
        <f>D75+E75</f>
        <v>1.8106927391735659</v>
      </c>
    </row>
  </sheetData>
  <mergeCells count="1">
    <mergeCell ref="D65:E65"/>
  </mergeCells>
  <printOptions/>
  <pageMargins left="0.7480314960629921" right="0.7480314960629921" top="0.984251968503937" bottom="0.984251968503937" header="0.5118110236220472" footer="0.5118110236220472"/>
  <pageSetup horizontalDpi="600" verticalDpi="600" orientation="portrait" paperSize="9" r:id="rId5"/>
  <headerFooter alignWithMargins="0">
    <oddHeader>&amp;L&amp;F&amp;C&amp;A&amp;R&amp;D   &amp;T</oddHeader>
    <oddFooter>&amp;C&amp;F&amp;RPage &amp;P</oddFooter>
  </headerFooter>
  <drawing r:id="rId4"/>
  <legacyDrawing r:id="rId3"/>
  <oleObjects>
    <oleObject progId="Equation.2" shapeId="2277187" r:id="rId2"/>
  </oleObjects>
</worksheet>
</file>

<file path=xl/worksheets/sheet5.xml><?xml version="1.0" encoding="utf-8"?>
<worksheet xmlns="http://schemas.openxmlformats.org/spreadsheetml/2006/main" xmlns:r="http://schemas.openxmlformats.org/officeDocument/2006/relationships">
  <sheetPr codeName="Sheet21"/>
  <dimension ref="B1:Q47"/>
  <sheetViews>
    <sheetView workbookViewId="0" topLeftCell="A1">
      <selection activeCell="P15" sqref="P15"/>
    </sheetView>
  </sheetViews>
  <sheetFormatPr defaultColWidth="9.140625" defaultRowHeight="12.75"/>
  <cols>
    <col min="1" max="1" width="0.42578125" style="1" customWidth="1"/>
    <col min="2" max="2" width="3.7109375" style="1" customWidth="1"/>
    <col min="3" max="3" width="14.28125" style="1" customWidth="1"/>
    <col min="4" max="4" width="6.28125" style="1" customWidth="1"/>
    <col min="5" max="5" width="7.421875" style="1" customWidth="1"/>
    <col min="6" max="6" width="8.140625" style="1" customWidth="1"/>
    <col min="7" max="8" width="6.7109375" style="1" customWidth="1"/>
    <col min="9" max="9" width="8.421875" style="1" customWidth="1"/>
    <col min="10" max="10" width="6.8515625" style="1" customWidth="1"/>
    <col min="11" max="11" width="13.28125" style="1" customWidth="1"/>
    <col min="12" max="12" width="8.57421875" style="1" customWidth="1"/>
    <col min="13" max="13" width="1.1484375" style="1" customWidth="1"/>
    <col min="14" max="14" width="6.140625" style="1" customWidth="1"/>
    <col min="15" max="15" width="7.28125" style="1" customWidth="1"/>
    <col min="16" max="16" width="28.7109375" style="38" customWidth="1"/>
    <col min="17" max="17" width="6.7109375" style="38" customWidth="1"/>
    <col min="18" max="16384" width="6.7109375" style="1" customWidth="1"/>
  </cols>
  <sheetData>
    <row r="1" spans="2:16" ht="37.5" customHeight="1">
      <c r="B1" s="30" t="s">
        <v>171</v>
      </c>
      <c r="C1" s="31"/>
      <c r="D1" s="32"/>
      <c r="E1" s="31"/>
      <c r="F1" s="31"/>
      <c r="G1" s="31"/>
      <c r="H1" s="31"/>
      <c r="I1" s="31"/>
      <c r="J1" s="33"/>
      <c r="K1" s="33"/>
      <c r="L1" s="31"/>
      <c r="M1" s="33"/>
      <c r="N1" s="33"/>
      <c r="O1" s="31" t="s">
        <v>198</v>
      </c>
      <c r="P1" s="55"/>
    </row>
    <row r="2" spans="2:16" ht="18" customHeight="1">
      <c r="B2" s="35" t="s">
        <v>1</v>
      </c>
      <c r="C2" s="26"/>
      <c r="D2" s="13"/>
      <c r="H2" s="1" t="s">
        <v>199</v>
      </c>
      <c r="I2" s="1" t="s">
        <v>200</v>
      </c>
      <c r="J2" t="s">
        <v>201</v>
      </c>
      <c r="L2"/>
      <c r="O2" s="27" t="s">
        <v>2</v>
      </c>
      <c r="P2" s="56"/>
    </row>
    <row r="3" spans="2:16" ht="12.75">
      <c r="B3"/>
      <c r="C3" s="10" t="s">
        <v>3</v>
      </c>
      <c r="D3" s="22" t="s">
        <v>4</v>
      </c>
      <c r="E3" s="49" t="s">
        <v>4</v>
      </c>
      <c r="F3" s="23" t="s">
        <v>5</v>
      </c>
      <c r="G3" s="50" t="s">
        <v>5</v>
      </c>
      <c r="H3" s="60"/>
      <c r="I3" s="64"/>
      <c r="J3" s="67"/>
      <c r="K3" s="64"/>
      <c r="L3"/>
      <c r="M3"/>
      <c r="N3"/>
      <c r="O3" s="49">
        <v>0</v>
      </c>
      <c r="P3" s="38" t="s">
        <v>7</v>
      </c>
    </row>
    <row r="4" spans="2:16" ht="14.25">
      <c r="B4"/>
      <c r="C4" s="1" t="s">
        <v>8</v>
      </c>
      <c r="D4"/>
      <c r="E4"/>
      <c r="F4"/>
      <c r="G4"/>
      <c r="H4"/>
      <c r="I4" s="4"/>
      <c r="K4"/>
      <c r="L4"/>
      <c r="M4"/>
      <c r="N4"/>
      <c r="O4" s="49">
        <v>1</v>
      </c>
      <c r="P4" s="38" t="s">
        <v>9</v>
      </c>
    </row>
    <row r="5" spans="2:16" ht="12.75">
      <c r="B5"/>
      <c r="D5" s="10" t="s">
        <v>10</v>
      </c>
      <c r="E5" s="11" t="s">
        <v>11</v>
      </c>
      <c r="F5" s="49">
        <v>1</v>
      </c>
      <c r="G5" s="11" t="s">
        <v>12</v>
      </c>
      <c r="H5" s="22">
        <v>1</v>
      </c>
      <c r="I5" s="11" t="s">
        <v>13</v>
      </c>
      <c r="J5" s="25">
        <v>8</v>
      </c>
      <c r="K5" s="18" t="s">
        <v>105</v>
      </c>
      <c r="L5" s="20">
        <f>F5+H5+J5</f>
        <v>10</v>
      </c>
      <c r="M5" s="19"/>
      <c r="N5" s="19"/>
      <c r="O5" s="25">
        <v>10</v>
      </c>
      <c r="P5" s="38" t="s">
        <v>14</v>
      </c>
    </row>
    <row r="6" spans="4:15" ht="12.75">
      <c r="D6" s="14" t="s">
        <v>15</v>
      </c>
      <c r="E6" s="11" t="s">
        <v>16</v>
      </c>
      <c r="F6" s="24">
        <f>SQRT(F5)</f>
        <v>1</v>
      </c>
      <c r="G6" s="11" t="s">
        <v>17</v>
      </c>
      <c r="H6" s="16">
        <f>SQRT(H5)</f>
        <v>1</v>
      </c>
      <c r="I6" s="11" t="s">
        <v>18</v>
      </c>
      <c r="J6" s="16">
        <f>SQRT(J5)</f>
        <v>2.8284271247461903</v>
      </c>
      <c r="K6"/>
      <c r="L6"/>
      <c r="M6" s="18"/>
      <c r="N6" s="18"/>
      <c r="O6"/>
    </row>
    <row r="7" spans="4:15" ht="12.75">
      <c r="D7" s="10" t="s">
        <v>122</v>
      </c>
      <c r="E7" s="10" t="s">
        <v>19</v>
      </c>
      <c r="F7" s="21">
        <f>F5/L5</f>
        <v>0.1</v>
      </c>
      <c r="G7" s="10" t="s">
        <v>20</v>
      </c>
      <c r="H7" s="21">
        <f>(F5+H5)/L5</f>
        <v>0.2</v>
      </c>
      <c r="I7"/>
      <c r="J7"/>
      <c r="K7" s="3"/>
      <c r="L7" s="5"/>
      <c r="M7" s="19"/>
      <c r="N7" s="19"/>
      <c r="O7"/>
    </row>
    <row r="8" spans="2:17" ht="12.75">
      <c r="B8" s="15"/>
      <c r="C8" s="10"/>
      <c r="D8" s="9"/>
      <c r="H8" s="12"/>
      <c r="I8" s="10"/>
      <c r="J8" s="9"/>
      <c r="K8" s="7"/>
      <c r="L8" s="9"/>
      <c r="O8" s="6"/>
      <c r="P8" s="38" t="s">
        <v>116</v>
      </c>
      <c r="Q8" s="39"/>
    </row>
    <row r="9" spans="2:17" ht="13.5" thickBot="1">
      <c r="B9" s="15"/>
      <c r="C9" s="10"/>
      <c r="D9" s="9"/>
      <c r="H9" s="12"/>
      <c r="I9" s="10"/>
      <c r="J9" s="9"/>
      <c r="K9" s="7"/>
      <c r="L9" s="9"/>
      <c r="N9" s="45" t="s">
        <v>115</v>
      </c>
      <c r="O9" s="38"/>
      <c r="Q9" s="39"/>
    </row>
    <row r="10" spans="2:16" s="38" customFormat="1" ht="15.75" customHeight="1" thickTop="1">
      <c r="B10" s="118" t="s">
        <v>50</v>
      </c>
      <c r="C10" s="119"/>
      <c r="D10" s="119"/>
      <c r="E10" s="119"/>
      <c r="F10" s="119"/>
      <c r="G10" s="119"/>
      <c r="H10" s="119"/>
      <c r="I10" s="119"/>
      <c r="J10" s="121"/>
      <c r="K10" s="167" t="s">
        <v>128</v>
      </c>
      <c r="L10" s="121"/>
      <c r="M10" s="119"/>
      <c r="N10" s="146"/>
      <c r="O10" s="168" t="s">
        <v>23</v>
      </c>
      <c r="P10" s="125"/>
    </row>
    <row r="11" spans="2:16" ht="13.5">
      <c r="B11" s="126"/>
      <c r="C11" s="45" t="s">
        <v>28</v>
      </c>
      <c r="D11" s="38"/>
      <c r="E11" s="38"/>
      <c r="F11" s="38"/>
      <c r="G11" s="38"/>
      <c r="H11" s="38"/>
      <c r="I11" s="38"/>
      <c r="J11" s="91" t="s">
        <v>127</v>
      </c>
      <c r="K11" s="91" t="s">
        <v>159</v>
      </c>
      <c r="L11" s="92">
        <f>F6*(L16+L20)</f>
        <v>0.9707995400023786</v>
      </c>
      <c r="M11" s="38"/>
      <c r="N11" s="38"/>
      <c r="O11" s="41">
        <f>D12*H15*G12</f>
        <v>2500</v>
      </c>
      <c r="P11" s="130" t="s">
        <v>30</v>
      </c>
    </row>
    <row r="12" spans="2:16" ht="13.5">
      <c r="B12" s="129"/>
      <c r="C12" s="97" t="s">
        <v>31</v>
      </c>
      <c r="D12" s="108">
        <v>25</v>
      </c>
      <c r="E12" s="39"/>
      <c r="F12" s="97" t="s">
        <v>51</v>
      </c>
      <c r="G12" s="108">
        <v>1</v>
      </c>
      <c r="H12" s="38" t="s">
        <v>52</v>
      </c>
      <c r="I12" s="45"/>
      <c r="J12" s="101"/>
      <c r="K12" s="169" t="s">
        <v>156</v>
      </c>
      <c r="L12" s="149">
        <f>L11-O19/2</f>
        <v>0.9207995400023785</v>
      </c>
      <c r="M12" s="38"/>
      <c r="N12" s="38"/>
      <c r="O12" s="102">
        <f>$O$3+H15*($O$5+D12*G12*$O$4)</f>
        <v>3500</v>
      </c>
      <c r="P12" s="130" t="s">
        <v>45</v>
      </c>
    </row>
    <row r="13" spans="2:16" ht="12.75">
      <c r="B13" s="129"/>
      <c r="C13" s="97" t="s">
        <v>53</v>
      </c>
      <c r="D13" s="108">
        <v>100</v>
      </c>
      <c r="E13" s="38"/>
      <c r="F13" s="97" t="s">
        <v>32</v>
      </c>
      <c r="G13" s="104">
        <f>D15*D19</f>
        <v>30</v>
      </c>
      <c r="H13" s="38" t="s">
        <v>33</v>
      </c>
      <c r="I13" s="105">
        <f>D13*D12</f>
        <v>2500</v>
      </c>
      <c r="J13" s="38" t="s">
        <v>34</v>
      </c>
      <c r="K13" s="134"/>
      <c r="L13" s="101"/>
      <c r="M13" s="38"/>
      <c r="N13" s="38"/>
      <c r="O13" s="41"/>
      <c r="P13" s="130" t="s">
        <v>54</v>
      </c>
    </row>
    <row r="14" spans="2:16" ht="12">
      <c r="B14" s="150"/>
      <c r="C14" s="45" t="s">
        <v>55</v>
      </c>
      <c r="D14" s="38"/>
      <c r="E14" s="38"/>
      <c r="F14" s="97" t="s">
        <v>56</v>
      </c>
      <c r="G14" s="151">
        <f>$F$5/($F$5+$H$5+$J$5/G12)</f>
        <v>0.1</v>
      </c>
      <c r="H14" s="152" t="s">
        <v>57</v>
      </c>
      <c r="I14" s="38"/>
      <c r="J14" s="54"/>
      <c r="K14" s="134"/>
      <c r="L14" s="54"/>
      <c r="M14" s="38"/>
      <c r="N14" s="38"/>
      <c r="O14" s="41"/>
      <c r="P14" s="130" t="s">
        <v>58</v>
      </c>
    </row>
    <row r="15" spans="2:16" ht="12.75">
      <c r="B15" s="129"/>
      <c r="C15" s="106" t="s">
        <v>38</v>
      </c>
      <c r="D15" s="108">
        <v>10</v>
      </c>
      <c r="E15" s="39"/>
      <c r="F15" s="39"/>
      <c r="G15" s="97" t="s">
        <v>59</v>
      </c>
      <c r="H15" s="153">
        <f>D13</f>
        <v>100</v>
      </c>
      <c r="I15" s="97" t="s">
        <v>48</v>
      </c>
      <c r="J15" s="43">
        <f>SelBurr(D15,H15)</f>
        <v>1.729595932727645</v>
      </c>
      <c r="K15" s="134"/>
      <c r="L15" s="54"/>
      <c r="M15" s="38"/>
      <c r="N15" s="41">
        <f>D19/(0.75+0.25*D19)</f>
        <v>2</v>
      </c>
      <c r="O15" s="39"/>
      <c r="P15" s="130" t="s">
        <v>60</v>
      </c>
    </row>
    <row r="16" spans="2:16" ht="13.5">
      <c r="B16" s="129"/>
      <c r="C16" s="97" t="s">
        <v>61</v>
      </c>
      <c r="D16" s="43">
        <f>(0.25+0.75/D12)*SQRT($F$5)</f>
        <v>0.28</v>
      </c>
      <c r="E16" s="39"/>
      <c r="F16" s="38"/>
      <c r="G16" s="38"/>
      <c r="H16" s="38"/>
      <c r="I16" s="97" t="s">
        <v>62</v>
      </c>
      <c r="J16" s="43">
        <f>SQRT(0.25*$F$5+(0.75*$F$5+$H$5+$J$5/G12)/D12)</f>
        <v>0.8</v>
      </c>
      <c r="K16" s="111" t="s">
        <v>157</v>
      </c>
      <c r="L16" s="43">
        <f>J15*D16/J16</f>
        <v>0.6053585764546757</v>
      </c>
      <c r="M16" s="38"/>
      <c r="N16" s="102">
        <f>N15*D15</f>
        <v>20</v>
      </c>
      <c r="O16" s="39"/>
      <c r="P16" s="130" t="s">
        <v>63</v>
      </c>
    </row>
    <row r="17" spans="2:16" ht="13.5">
      <c r="B17" s="170"/>
      <c r="C17" s="171"/>
      <c r="D17" s="172"/>
      <c r="E17" s="173" t="s">
        <v>168</v>
      </c>
      <c r="F17" s="174">
        <f>SQRT($F$5*(0.25+0.75/D12)+$H$5/D12)</f>
        <v>0.565685424949238</v>
      </c>
      <c r="G17" s="39"/>
      <c r="H17" s="53"/>
      <c r="I17" s="97"/>
      <c r="J17" s="43"/>
      <c r="K17" s="175" t="s">
        <v>164</v>
      </c>
      <c r="L17" s="172">
        <f>$J15*$F17*$F17/$J16</f>
        <v>0.6918383730910579</v>
      </c>
      <c r="M17" s="38"/>
      <c r="N17" s="102"/>
      <c r="O17" s="39"/>
      <c r="P17" s="130"/>
    </row>
    <row r="18" spans="2:16" ht="12.75">
      <c r="B18" s="150"/>
      <c r="C18" s="45" t="s">
        <v>64</v>
      </c>
      <c r="D18" s="38"/>
      <c r="E18" s="38"/>
      <c r="F18" s="38"/>
      <c r="G18" s="38"/>
      <c r="H18" s="38"/>
      <c r="I18" s="38"/>
      <c r="J18" s="54"/>
      <c r="K18" s="134"/>
      <c r="L18" s="54"/>
      <c r="M18" s="38"/>
      <c r="N18" s="43">
        <f>0.5/N16</f>
        <v>0.025</v>
      </c>
      <c r="O18" s="39"/>
      <c r="P18" s="130" t="s">
        <v>43</v>
      </c>
    </row>
    <row r="19" spans="2:16" ht="13.5" customHeight="1">
      <c r="B19" s="129"/>
      <c r="C19" s="106" t="s">
        <v>65</v>
      </c>
      <c r="D19" s="108">
        <v>3</v>
      </c>
      <c r="E19" s="38" t="s">
        <v>66</v>
      </c>
      <c r="F19" s="38"/>
      <c r="G19" s="38"/>
      <c r="H19" s="41">
        <f>D12</f>
        <v>25</v>
      </c>
      <c r="I19" s="97" t="s">
        <v>48</v>
      </c>
      <c r="J19" s="43">
        <f>SelBurr(D19,H19)</f>
        <v>1.5824057900788682</v>
      </c>
      <c r="K19" s="134"/>
      <c r="L19" s="54"/>
      <c r="M19" s="38"/>
      <c r="N19" s="38"/>
      <c r="O19" s="154">
        <v>0.1</v>
      </c>
      <c r="P19" s="176"/>
    </row>
    <row r="20" spans="2:16" ht="13.5">
      <c r="B20" s="129"/>
      <c r="C20" s="97" t="s">
        <v>67</v>
      </c>
      <c r="D20" s="43">
        <f>0.75*(1-1/D12)*SQRT($F$5)</f>
        <v>0.72</v>
      </c>
      <c r="E20" s="39"/>
      <c r="F20" s="38"/>
      <c r="G20" s="38"/>
      <c r="H20" s="39"/>
      <c r="I20" s="97" t="s">
        <v>68</v>
      </c>
      <c r="J20" s="43">
        <f>SQRT(0.75*$F$5*(1-1/D12)+$H$5+$J$5/G12)</f>
        <v>3.117691453623979</v>
      </c>
      <c r="K20" s="111" t="s">
        <v>158</v>
      </c>
      <c r="L20" s="43">
        <f>J19*D20/J20</f>
        <v>0.3654409635477028</v>
      </c>
      <c r="M20" s="38"/>
      <c r="N20" s="104">
        <f>D19*D15</f>
        <v>30</v>
      </c>
      <c r="O20" s="41"/>
      <c r="P20" s="130" t="s">
        <v>116</v>
      </c>
    </row>
    <row r="21" spans="2:16" ht="13.5">
      <c r="B21" s="129"/>
      <c r="C21" s="177"/>
      <c r="D21" s="178"/>
      <c r="E21" s="171" t="s">
        <v>167</v>
      </c>
      <c r="F21" s="179">
        <f>SQRT(0.75*(1-1/D12)*F5+H5)</f>
        <v>1.3114877048604001</v>
      </c>
      <c r="G21" s="38"/>
      <c r="H21" s="39"/>
      <c r="I21" s="97"/>
      <c r="J21" s="38"/>
      <c r="K21" s="175" t="s">
        <v>170</v>
      </c>
      <c r="L21" s="172">
        <f>$J19*$F21*$F21/$J20</f>
        <v>0.8729978573639566</v>
      </c>
      <c r="M21" s="38"/>
      <c r="N21" s="104"/>
      <c r="O21" s="41"/>
      <c r="P21" s="130"/>
    </row>
    <row r="22" spans="2:16" ht="13.5">
      <c r="B22" s="180"/>
      <c r="C22" s="38"/>
      <c r="D22" s="38"/>
      <c r="E22" s="38"/>
      <c r="F22" s="38"/>
      <c r="G22" s="38"/>
      <c r="H22" s="38"/>
      <c r="I22" s="38"/>
      <c r="J22" s="181" t="s">
        <v>139</v>
      </c>
      <c r="K22" s="182" t="s">
        <v>160</v>
      </c>
      <c r="L22" s="183">
        <f>L17+L21</f>
        <v>1.5648362304550145</v>
      </c>
      <c r="M22" s="38"/>
      <c r="N22" s="38"/>
      <c r="O22" s="41"/>
      <c r="P22" s="130"/>
    </row>
    <row r="23" spans="2:16" ht="14.25" thickBot="1">
      <c r="B23" s="184"/>
      <c r="C23" s="139"/>
      <c r="D23" s="139"/>
      <c r="E23" s="139"/>
      <c r="F23" s="139"/>
      <c r="G23" s="139"/>
      <c r="H23" s="139"/>
      <c r="I23" s="139"/>
      <c r="J23" s="185" t="s">
        <v>138</v>
      </c>
      <c r="K23" s="186" t="s">
        <v>161</v>
      </c>
      <c r="L23" s="187">
        <f>L22-L11</f>
        <v>0.594036690452636</v>
      </c>
      <c r="M23" s="139"/>
      <c r="N23" s="139"/>
      <c r="O23" s="141"/>
      <c r="P23" s="143"/>
    </row>
    <row r="24" spans="10:15" ht="13.5" thickBot="1" thickTop="1">
      <c r="J24" s="8"/>
      <c r="K24" s="81"/>
      <c r="O24" s="6"/>
    </row>
    <row r="25" spans="2:16" ht="13.5" thickTop="1">
      <c r="B25" s="118" t="s">
        <v>69</v>
      </c>
      <c r="C25" s="188"/>
      <c r="D25" s="189"/>
      <c r="E25" s="188"/>
      <c r="F25" s="188"/>
      <c r="G25" s="188"/>
      <c r="H25" s="188"/>
      <c r="I25" s="188"/>
      <c r="J25" s="190"/>
      <c r="K25" s="191"/>
      <c r="L25" s="188"/>
      <c r="M25" s="188"/>
      <c r="N25" s="188"/>
      <c r="O25" s="188"/>
      <c r="P25" s="125"/>
    </row>
    <row r="26" spans="2:16" ht="13.5">
      <c r="B26" s="126"/>
      <c r="C26" s="45" t="s">
        <v>28</v>
      </c>
      <c r="D26" s="38"/>
      <c r="E26" s="39"/>
      <c r="F26" s="39"/>
      <c r="G26" s="38"/>
      <c r="H26" s="38"/>
      <c r="I26" s="38"/>
      <c r="J26" s="91" t="s">
        <v>127</v>
      </c>
      <c r="K26" s="91" t="s">
        <v>159</v>
      </c>
      <c r="L26" s="92">
        <f>F6*(L31+L35)</f>
        <v>1.015400730034056</v>
      </c>
      <c r="M26" s="38"/>
      <c r="N26" s="38"/>
      <c r="O26" s="41">
        <f>D27*D28*G27</f>
        <v>2520</v>
      </c>
      <c r="P26" s="130" t="s">
        <v>30</v>
      </c>
    </row>
    <row r="27" spans="2:16" ht="12.75">
      <c r="B27" s="129"/>
      <c r="C27" s="97" t="s">
        <v>31</v>
      </c>
      <c r="D27" s="108">
        <v>30</v>
      </c>
      <c r="E27" s="38"/>
      <c r="F27" s="97" t="s">
        <v>51</v>
      </c>
      <c r="G27" s="108">
        <v>1</v>
      </c>
      <c r="H27" s="38" t="s">
        <v>52</v>
      </c>
      <c r="I27" s="100"/>
      <c r="J27" s="101"/>
      <c r="K27" s="192"/>
      <c r="L27" s="101"/>
      <c r="M27" s="38"/>
      <c r="N27" s="38"/>
      <c r="O27" s="102">
        <f>$O$3+I29*($O$5+$O$4*D27*G27/2)</f>
        <v>4200</v>
      </c>
      <c r="P27" s="130" t="s">
        <v>45</v>
      </c>
    </row>
    <row r="28" spans="2:16" ht="12.75">
      <c r="B28" s="129"/>
      <c r="C28" s="97" t="s">
        <v>53</v>
      </c>
      <c r="D28" s="108">
        <v>84</v>
      </c>
      <c r="E28" s="38"/>
      <c r="F28" s="97" t="s">
        <v>32</v>
      </c>
      <c r="G28" s="104">
        <f>D30*D34</f>
        <v>30</v>
      </c>
      <c r="H28" s="38" t="s">
        <v>33</v>
      </c>
      <c r="I28" s="105">
        <f>D28*D27</f>
        <v>2520</v>
      </c>
      <c r="J28" s="38" t="s">
        <v>34</v>
      </c>
      <c r="K28" s="134"/>
      <c r="L28" s="101"/>
      <c r="M28" s="38"/>
      <c r="N28" s="38"/>
      <c r="O28" s="41"/>
      <c r="P28" s="130" t="s">
        <v>70</v>
      </c>
    </row>
    <row r="29" spans="2:16" ht="12.75">
      <c r="B29" s="129"/>
      <c r="C29" s="45" t="s">
        <v>55</v>
      </c>
      <c r="D29" s="39"/>
      <c r="E29" s="38"/>
      <c r="F29" s="38"/>
      <c r="G29" s="39"/>
      <c r="H29" s="97" t="s">
        <v>71</v>
      </c>
      <c r="I29" s="131">
        <f>D28*2</f>
        <v>168</v>
      </c>
      <c r="J29" s="39" t="s">
        <v>72</v>
      </c>
      <c r="K29" s="192"/>
      <c r="L29" s="54"/>
      <c r="M29" s="38"/>
      <c r="N29" s="38"/>
      <c r="O29" s="41"/>
      <c r="P29" s="130" t="s">
        <v>73</v>
      </c>
    </row>
    <row r="30" spans="2:16" ht="12.75">
      <c r="B30" s="129"/>
      <c r="C30" s="106" t="s">
        <v>38</v>
      </c>
      <c r="D30" s="107">
        <v>15</v>
      </c>
      <c r="E30" s="39"/>
      <c r="F30" s="39"/>
      <c r="G30" s="97" t="s">
        <v>74</v>
      </c>
      <c r="H30" s="41">
        <f>D28</f>
        <v>84</v>
      </c>
      <c r="I30" s="39" t="s">
        <v>48</v>
      </c>
      <c r="J30" s="43">
        <f>SelBurr(D30,H30)</f>
        <v>1.4435885020958474</v>
      </c>
      <c r="K30" s="192"/>
      <c r="L30" s="101"/>
      <c r="M30" s="38"/>
      <c r="N30" s="43">
        <f>2*D34/(1+D34)</f>
        <v>1.3333333333333333</v>
      </c>
      <c r="O30" s="39"/>
      <c r="P30" s="130" t="s">
        <v>75</v>
      </c>
    </row>
    <row r="31" spans="2:16" ht="13.5">
      <c r="B31" s="133"/>
      <c r="C31" s="97" t="s">
        <v>76</v>
      </c>
      <c r="D31" s="43">
        <f>0.5*(1+1/D27)*SQRT($F$5)</f>
        <v>0.5166666666666667</v>
      </c>
      <c r="E31" s="39"/>
      <c r="F31" s="39"/>
      <c r="G31" s="39"/>
      <c r="H31" s="53"/>
      <c r="I31" s="97" t="s">
        <v>112</v>
      </c>
      <c r="J31" s="43">
        <f>SQRT(0.5*$F$5*(1+1/$D$27)+$H$5/4+(0.75*$H$5+$J$5/G27)/$D$27)</f>
        <v>1.028753290800731</v>
      </c>
      <c r="K31" s="111" t="s">
        <v>157</v>
      </c>
      <c r="L31" s="43">
        <f>J30*D31/J31</f>
        <v>0.7250077021242398</v>
      </c>
      <c r="M31" s="38"/>
      <c r="N31" s="102">
        <f>N30*D30</f>
        <v>20</v>
      </c>
      <c r="O31" s="39"/>
      <c r="P31" s="130" t="s">
        <v>77</v>
      </c>
    </row>
    <row r="32" spans="2:16" ht="13.5">
      <c r="B32" s="193"/>
      <c r="C32" s="173"/>
      <c r="D32" s="174"/>
      <c r="E32" s="173" t="s">
        <v>129</v>
      </c>
      <c r="F32" s="174">
        <f>SQRT(0.5*$F$5*(1+1/$D$27)+$H$5/4+(0.75*$H$5)/$D$27)</f>
        <v>0.8897565210026093</v>
      </c>
      <c r="G32" s="39"/>
      <c r="H32" s="53"/>
      <c r="I32" s="97"/>
      <c r="J32" s="43"/>
      <c r="K32" s="175" t="s">
        <v>164</v>
      </c>
      <c r="L32" s="172">
        <f>$J30*$F32*$F32/$J31</f>
        <v>1.1108988984161738</v>
      </c>
      <c r="M32" s="38"/>
      <c r="N32" s="194"/>
      <c r="O32" s="39"/>
      <c r="P32" s="130"/>
    </row>
    <row r="33" spans="2:16" ht="12.75">
      <c r="B33" s="129"/>
      <c r="C33" s="45" t="s">
        <v>64</v>
      </c>
      <c r="D33" s="38"/>
      <c r="E33" s="38"/>
      <c r="F33" s="38"/>
      <c r="G33" s="38"/>
      <c r="H33" s="38"/>
      <c r="I33" s="38"/>
      <c r="J33" s="54"/>
      <c r="K33" s="134"/>
      <c r="L33" s="54"/>
      <c r="M33" s="38"/>
      <c r="N33" s="43">
        <f>0.5/N31</f>
        <v>0.025</v>
      </c>
      <c r="O33" s="39"/>
      <c r="P33" s="130" t="s">
        <v>43</v>
      </c>
    </row>
    <row r="34" spans="2:16" ht="12.75">
      <c r="B34" s="129"/>
      <c r="C34" s="106" t="s">
        <v>65</v>
      </c>
      <c r="D34" s="108">
        <v>2</v>
      </c>
      <c r="E34" s="39"/>
      <c r="F34" s="38"/>
      <c r="G34" s="100" t="s">
        <v>78</v>
      </c>
      <c r="H34" s="41">
        <f>D27</f>
        <v>30</v>
      </c>
      <c r="I34" s="38" t="s">
        <v>79</v>
      </c>
      <c r="J34" s="43">
        <f>SelBurr(D34,H34)</f>
        <v>1.8231817024137225</v>
      </c>
      <c r="K34" s="134"/>
      <c r="L34" s="54"/>
      <c r="M34" s="38"/>
      <c r="N34" s="104">
        <f>D30*D34</f>
        <v>30</v>
      </c>
      <c r="O34" s="41"/>
      <c r="P34" s="130" t="s">
        <v>116</v>
      </c>
    </row>
    <row r="35" spans="2:17" s="12" customFormat="1" ht="13.5">
      <c r="B35" s="129"/>
      <c r="C35" s="97" t="s">
        <v>80</v>
      </c>
      <c r="D35" s="43">
        <f>0.5*SQRT(F$5)*(1-1/D27)</f>
        <v>0.48333333333333334</v>
      </c>
      <c r="E35" s="39"/>
      <c r="F35" s="38"/>
      <c r="G35" s="38"/>
      <c r="H35" s="38"/>
      <c r="I35" s="97" t="s">
        <v>81</v>
      </c>
      <c r="J35" s="43">
        <f>SQRT((0.5*$F$5+0.75*$H$5)*(1-1/D27)+$J$5/G27)</f>
        <v>3.0345235760055207</v>
      </c>
      <c r="K35" s="111" t="s">
        <v>158</v>
      </c>
      <c r="L35" s="43">
        <f>J34*D35/J35</f>
        <v>0.290393027909816</v>
      </c>
      <c r="M35" s="38"/>
      <c r="N35" s="38"/>
      <c r="O35" s="41"/>
      <c r="P35" s="130"/>
      <c r="Q35" s="53"/>
    </row>
    <row r="36" spans="2:16" ht="13.5">
      <c r="B36" s="180"/>
      <c r="C36" s="173"/>
      <c r="D36" s="195"/>
      <c r="E36" s="173" t="s">
        <v>137</v>
      </c>
      <c r="F36" s="174">
        <f>SQRT((0.5*$F$5+0.75*$H$5)*(1-1/D27))</f>
        <v>1.0992421631894098</v>
      </c>
      <c r="G36" s="38"/>
      <c r="H36" s="38"/>
      <c r="I36" s="38"/>
      <c r="J36" s="38"/>
      <c r="K36" s="175" t="s">
        <v>166</v>
      </c>
      <c r="L36" s="172">
        <f>$J34*$F36*$F36/$J35</f>
        <v>0.7259825697745399</v>
      </c>
      <c r="M36" s="38"/>
      <c r="N36" s="38"/>
      <c r="O36" s="41"/>
      <c r="P36" s="130"/>
    </row>
    <row r="37" spans="2:16" ht="13.5">
      <c r="B37" s="180"/>
      <c r="C37" s="38"/>
      <c r="D37" s="38"/>
      <c r="E37" s="38"/>
      <c r="F37" s="195"/>
      <c r="G37" s="195"/>
      <c r="H37" s="195"/>
      <c r="I37" s="195"/>
      <c r="J37" s="181" t="s">
        <v>139</v>
      </c>
      <c r="K37" s="182" t="s">
        <v>160</v>
      </c>
      <c r="L37" s="183">
        <f>L32+L36</f>
        <v>1.8368814681907137</v>
      </c>
      <c r="M37" s="38"/>
      <c r="N37" s="38"/>
      <c r="O37" s="41"/>
      <c r="P37" s="130"/>
    </row>
    <row r="38" spans="2:16" ht="14.25" thickBot="1">
      <c r="B38" s="184"/>
      <c r="C38" s="139"/>
      <c r="D38" s="196"/>
      <c r="E38" s="196"/>
      <c r="F38" s="196"/>
      <c r="G38" s="196"/>
      <c r="H38" s="196"/>
      <c r="I38" s="196"/>
      <c r="J38" s="185" t="s">
        <v>138</v>
      </c>
      <c r="K38" s="186" t="s">
        <v>161</v>
      </c>
      <c r="L38" s="187">
        <f>L37-L26</f>
        <v>0.8214807381566578</v>
      </c>
      <c r="M38" s="138"/>
      <c r="N38" s="138"/>
      <c r="O38" s="141"/>
      <c r="P38" s="143"/>
    </row>
    <row r="39" spans="10:17" s="61" customFormat="1" ht="14.25" thickBot="1" thickTop="1">
      <c r="J39" s="62"/>
      <c r="K39" s="82"/>
      <c r="L39" s="63"/>
      <c r="M39" s="64"/>
      <c r="N39" s="64"/>
      <c r="O39" s="17"/>
      <c r="P39" s="65"/>
      <c r="Q39" s="65"/>
    </row>
    <row r="40" spans="2:16" s="38" customFormat="1" ht="13.5" thickTop="1">
      <c r="B40" s="118" t="s">
        <v>82</v>
      </c>
      <c r="C40" s="119"/>
      <c r="D40" s="120"/>
      <c r="E40" s="119"/>
      <c r="F40" s="119"/>
      <c r="G40" s="119"/>
      <c r="H40" s="119"/>
      <c r="I40" s="119"/>
      <c r="J40" s="119"/>
      <c r="K40" s="197"/>
      <c r="L40" s="119"/>
      <c r="M40" s="119"/>
      <c r="N40" s="119"/>
      <c r="O40" s="123"/>
      <c r="P40" s="125"/>
    </row>
    <row r="41" spans="2:16" ht="13.5">
      <c r="B41" s="126"/>
      <c r="C41" s="45" t="s">
        <v>28</v>
      </c>
      <c r="D41" s="38"/>
      <c r="E41" s="39"/>
      <c r="F41" s="39"/>
      <c r="G41" s="38"/>
      <c r="H41" s="38"/>
      <c r="I41" s="38"/>
      <c r="J41" s="91" t="s">
        <v>127</v>
      </c>
      <c r="K41" s="91" t="s">
        <v>163</v>
      </c>
      <c r="L41" s="92">
        <f>F6*$J$44*L45</f>
        <v>0.583756586413018</v>
      </c>
      <c r="M41" s="39"/>
      <c r="N41" s="39"/>
      <c r="O41" s="41">
        <f>H44*G42</f>
        <v>250</v>
      </c>
      <c r="P41" s="130" t="s">
        <v>30</v>
      </c>
    </row>
    <row r="42" spans="2:16" ht="12.75">
      <c r="B42" s="129"/>
      <c r="C42" s="97"/>
      <c r="D42" s="98"/>
      <c r="E42" s="38"/>
      <c r="F42" s="97" t="s">
        <v>51</v>
      </c>
      <c r="G42" s="99">
        <v>1</v>
      </c>
      <c r="H42" s="38" t="s">
        <v>52</v>
      </c>
      <c r="I42" s="100"/>
      <c r="J42" s="39"/>
      <c r="K42" s="192"/>
      <c r="L42" s="101"/>
      <c r="M42" s="39"/>
      <c r="N42" s="39"/>
      <c r="O42" s="102">
        <f>$O$3+H44*(G42*$O$4+$O$5)</f>
        <v>2750</v>
      </c>
      <c r="P42" s="130" t="s">
        <v>83</v>
      </c>
    </row>
    <row r="43" spans="2:16" ht="12.75">
      <c r="B43" s="129"/>
      <c r="C43" s="45" t="s">
        <v>84</v>
      </c>
      <c r="D43" s="39"/>
      <c r="E43" s="38"/>
      <c r="F43" s="97" t="s">
        <v>32</v>
      </c>
      <c r="G43" s="104">
        <f>D44</f>
        <v>20</v>
      </c>
      <c r="H43" s="38" t="s">
        <v>33</v>
      </c>
      <c r="I43" s="105">
        <f>H44</f>
        <v>250</v>
      </c>
      <c r="J43" s="38" t="s">
        <v>34</v>
      </c>
      <c r="K43" s="134"/>
      <c r="L43" s="101"/>
      <c r="M43" s="39"/>
      <c r="N43" s="39"/>
      <c r="O43" s="41"/>
      <c r="P43" s="130" t="s">
        <v>104</v>
      </c>
    </row>
    <row r="44" spans="2:16" ht="12.75">
      <c r="B44" s="129"/>
      <c r="C44" s="106" t="s">
        <v>85</v>
      </c>
      <c r="D44" s="107">
        <v>20</v>
      </c>
      <c r="E44" s="39"/>
      <c r="F44" s="39"/>
      <c r="G44" s="97" t="s">
        <v>86</v>
      </c>
      <c r="H44" s="108">
        <v>250</v>
      </c>
      <c r="I44" s="38" t="s">
        <v>106</v>
      </c>
      <c r="J44" s="43">
        <f>SelBurr(D44,H44)</f>
        <v>1.8460004121900389</v>
      </c>
      <c r="K44" s="192"/>
      <c r="L44" s="39"/>
      <c r="M44" s="39"/>
      <c r="N44" s="109">
        <f>D44</f>
        <v>20</v>
      </c>
      <c r="O44" s="39"/>
      <c r="P44" s="130" t="s">
        <v>41</v>
      </c>
    </row>
    <row r="45" spans="2:16" ht="13.5">
      <c r="B45" s="133"/>
      <c r="C45" s="97" t="s">
        <v>87</v>
      </c>
      <c r="D45" s="43">
        <f>SQRT($F$5)</f>
        <v>1</v>
      </c>
      <c r="E45" s="39"/>
      <c r="F45" s="39"/>
      <c r="G45" s="39"/>
      <c r="H45" s="53"/>
      <c r="I45" s="97" t="s">
        <v>125</v>
      </c>
      <c r="J45" s="43">
        <f>SQRT($F$5+$H$5+$J$5/G42)</f>
        <v>3.1622776601683795</v>
      </c>
      <c r="K45" s="111" t="s">
        <v>142</v>
      </c>
      <c r="L45" s="43">
        <f>D45/J45</f>
        <v>0.31622776601683794</v>
      </c>
      <c r="M45" s="38"/>
      <c r="N45" s="43">
        <f>0.5/N44</f>
        <v>0.025</v>
      </c>
      <c r="O45" s="39"/>
      <c r="P45" s="130" t="s">
        <v>43</v>
      </c>
    </row>
    <row r="46" spans="2:16" ht="13.5">
      <c r="B46" s="180"/>
      <c r="C46" s="173" t="s">
        <v>124</v>
      </c>
      <c r="D46" s="174">
        <f>SQRT($F$5+$H$5)</f>
        <v>1.4142135623730951</v>
      </c>
      <c r="E46" s="100"/>
      <c r="F46" s="198"/>
      <c r="G46" s="198"/>
      <c r="H46" s="198"/>
      <c r="I46" s="198"/>
      <c r="J46" s="181" t="s">
        <v>126</v>
      </c>
      <c r="K46" s="182" t="s">
        <v>162</v>
      </c>
      <c r="L46" s="183">
        <f>$J$44*D46*$D$46/$J$45</f>
        <v>1.1675131728260362</v>
      </c>
      <c r="M46" s="38"/>
      <c r="N46" s="104">
        <f>D44</f>
        <v>20</v>
      </c>
      <c r="O46" s="41"/>
      <c r="P46" s="130" t="s">
        <v>116</v>
      </c>
    </row>
    <row r="47" spans="2:16" ht="14.25" thickBot="1">
      <c r="B47" s="184"/>
      <c r="C47" s="139"/>
      <c r="D47" s="196"/>
      <c r="E47" s="196"/>
      <c r="F47" s="196"/>
      <c r="G47" s="196"/>
      <c r="H47" s="196"/>
      <c r="I47" s="196"/>
      <c r="J47" s="185" t="s">
        <v>138</v>
      </c>
      <c r="K47" s="186" t="s">
        <v>161</v>
      </c>
      <c r="L47" s="199">
        <f>L46-L41</f>
        <v>0.5837565864130182</v>
      </c>
      <c r="M47" s="139"/>
      <c r="N47" s="139"/>
      <c r="O47" s="139"/>
      <c r="P47" s="143"/>
    </row>
    <row r="48" ht="12" thickTop="1"/>
  </sheetData>
  <printOptions/>
  <pageMargins left="0.7480314960629921" right="0.7480314960629921" top="0.984251968503937" bottom="0.984251968503937" header="0.5118110236220472" footer="0.5118110236220472"/>
  <pageSetup horizontalDpi="600" verticalDpi="600" orientation="portrait" paperSize="9" r:id="rId4"/>
  <headerFooter alignWithMargins="0">
    <oddHeader>&amp;L&amp;F&amp;C&amp;A&amp;R&amp;D   &amp;T</oddHeader>
    <oddFooter>&amp;C&amp;F&amp;RPage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SLU, S-901 83 Umeå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GAINPRED</dc:title>
  <dc:subject>Breeding theory calculations</dc:subject>
  <dc:creator>Dag Lindgren</dc:creator>
  <cp:keywords>genetic gain, genetic diversity, seed orchard</cp:keywords>
  <dc:description>If this EXCEL workbook is found independent, this is likely to have been downloaded from Dag Lindgren's Tree Breeding Tools</dc:description>
  <cp:lastModifiedBy>Dag Lindgren</cp:lastModifiedBy>
  <cp:lastPrinted>1996-04-29T14:34:24Z</cp:lastPrinted>
  <dcterms:created xsi:type="dcterms:W3CDTF">1995-12-19T06:57:58Z</dcterms:created>
  <dcterms:modified xsi:type="dcterms:W3CDTF">2002-10-11T11:02:15Z</dcterms:modified>
  <cp:category/>
  <cp:version/>
  <cp:contentType/>
  <cp:contentStatus/>
</cp:coreProperties>
</file>